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niversity\tadris\Karborde kamputer\Tirchebolook\"/>
    </mc:Choice>
  </mc:AlternateContent>
  <xr:revisionPtr revIDLastSave="0" documentId="13_ncr:1_{DD4EE629-CE89-4568-8DAA-F82C81E4057C}" xr6:coauthVersionLast="47" xr6:coauthVersionMax="47" xr10:uidLastSave="{00000000-0000-0000-0000-000000000000}"/>
  <bookViews>
    <workbookView xWindow="-98" yWindow="-98" windowWidth="23236" windowHeight="13996" xr2:uid="{00000000-000D-0000-FFFF-FFFF00000000}"/>
  </bookViews>
  <sheets>
    <sheet name="Simple" sheetId="2" r:id="rId1"/>
    <sheet name="Sheet1" sheetId="6" r:id="rId2"/>
    <sheet name="Sheet3" sheetId="3" r:id="rId3"/>
  </sheets>
  <definedNames>
    <definedName name="solver_adj" localSheetId="0" hidden="1">Simple!$M$89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Simple!#REF!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37" i="2"/>
  <c r="B36" i="2"/>
  <c r="D32" i="2"/>
  <c r="B24" i="2"/>
  <c r="C18" i="3"/>
  <c r="C38" i="2"/>
  <c r="E53" i="2" l="1"/>
  <c r="E47" i="2"/>
  <c r="B65" i="2"/>
  <c r="B66" i="2"/>
  <c r="B61" i="2"/>
  <c r="A1" i="6"/>
  <c r="C32" i="2"/>
  <c r="B32" i="2"/>
  <c r="B44" i="2" l="1"/>
  <c r="B67" i="2"/>
  <c r="K86" i="2"/>
  <c r="N107" i="2"/>
  <c r="X39" i="2"/>
  <c r="S39" i="2"/>
  <c r="N37" i="2"/>
  <c r="C67" i="2" l="1"/>
  <c r="G32" i="2"/>
  <c r="H32" i="2" s="1"/>
  <c r="L13" i="2"/>
  <c r="K8" i="2" l="1"/>
  <c r="K78" i="2"/>
  <c r="O78" i="2" s="1"/>
  <c r="N111" i="2"/>
  <c r="N112" i="2" s="1"/>
  <c r="N121" i="2"/>
  <c r="N102" i="2"/>
  <c r="N101" i="2"/>
  <c r="S56" i="2"/>
  <c r="S57" i="2"/>
  <c r="S58" i="2"/>
  <c r="S59" i="2"/>
  <c r="S60" i="2"/>
  <c r="S61" i="2"/>
  <c r="S62" i="2"/>
  <c r="S63" i="2"/>
  <c r="R64" i="2"/>
  <c r="R65" i="2"/>
  <c r="L83" i="2"/>
  <c r="L81" i="2"/>
  <c r="L80" i="2"/>
  <c r="S68" i="2"/>
  <c r="M55" i="2"/>
  <c r="Q55" i="2"/>
  <c r="M56" i="2"/>
  <c r="O56" i="2"/>
  <c r="P56" i="2"/>
  <c r="Q56" i="2"/>
  <c r="T56" i="2"/>
  <c r="M57" i="2"/>
  <c r="O57" i="2"/>
  <c r="P57" i="2"/>
  <c r="Q57" i="2"/>
  <c r="T57" i="2"/>
  <c r="M58" i="2"/>
  <c r="Q58" i="2"/>
  <c r="T58" i="2"/>
  <c r="M59" i="2"/>
  <c r="Q59" i="2"/>
  <c r="T59" i="2"/>
  <c r="M60" i="2"/>
  <c r="P60" i="2"/>
  <c r="Q60" i="2"/>
  <c r="M61" i="2"/>
  <c r="P61" i="2"/>
  <c r="Q61" i="2"/>
  <c r="M62" i="2"/>
  <c r="O62" i="2"/>
  <c r="P62" i="2"/>
  <c r="Q62" i="2"/>
  <c r="M63" i="2"/>
  <c r="O63" i="2"/>
  <c r="P63" i="2"/>
  <c r="Q63" i="2"/>
  <c r="M64" i="2"/>
  <c r="O64" i="2"/>
  <c r="P64" i="2"/>
  <c r="Q64" i="2"/>
  <c r="T64" i="2"/>
  <c r="M65" i="2"/>
  <c r="O65" i="2"/>
  <c r="P65" i="2"/>
  <c r="Q65" i="2"/>
  <c r="T65" i="2"/>
  <c r="M66" i="2"/>
  <c r="O66" i="2"/>
  <c r="P66" i="2"/>
  <c r="Q66" i="2"/>
  <c r="R66" i="2"/>
  <c r="S66" i="2"/>
  <c r="T66" i="2"/>
  <c r="M67" i="2"/>
  <c r="O67" i="2"/>
  <c r="P67" i="2"/>
  <c r="Q67" i="2"/>
  <c r="R67" i="2"/>
  <c r="S67" i="2"/>
  <c r="T67" i="2"/>
  <c r="M68" i="2"/>
  <c r="O68" i="2"/>
  <c r="P68" i="2"/>
  <c r="Q68" i="2"/>
  <c r="R68" i="2"/>
  <c r="T68" i="2"/>
  <c r="S31" i="2"/>
  <c r="N32" i="2"/>
  <c r="N113" i="2" l="1"/>
  <c r="K79" i="2"/>
  <c r="O79" i="2" s="1"/>
  <c r="N56" i="2" l="1"/>
  <c r="N114" i="2"/>
  <c r="W8" i="2"/>
  <c r="N115" i="2" l="1"/>
  <c r="X41" i="2"/>
  <c r="X42" i="2" s="1"/>
  <c r="X43" i="2" s="1"/>
  <c r="X44" i="2" s="1"/>
  <c r="X45" i="2" s="1"/>
  <c r="X46" i="2" s="1"/>
  <c r="X47" i="2" s="1"/>
  <c r="X48" i="2" s="1"/>
  <c r="X49" i="2" s="1"/>
  <c r="X50" i="2" s="1"/>
  <c r="AB41" i="2" s="1"/>
  <c r="X51" i="2"/>
  <c r="S41" i="2"/>
  <c r="S42" i="2" s="1"/>
  <c r="S43" i="2" s="1"/>
  <c r="S44" i="2" s="1"/>
  <c r="S45" i="2" s="1"/>
  <c r="S46" i="2" s="1"/>
  <c r="S47" i="2" s="1"/>
  <c r="S48" i="2" s="1"/>
  <c r="S49" i="2" s="1"/>
  <c r="S50" i="2" s="1"/>
  <c r="W41" i="2" s="1"/>
  <c r="B87" i="2"/>
  <c r="B86" i="2"/>
  <c r="B85" i="2"/>
  <c r="N116" i="2" l="1"/>
  <c r="AA9" i="2"/>
  <c r="AE9" i="2" s="1"/>
  <c r="AA8" i="2"/>
  <c r="S8" i="2"/>
  <c r="S9" i="2"/>
  <c r="S10" i="2"/>
  <c r="S51" i="2"/>
  <c r="N51" i="2"/>
  <c r="N41" i="2"/>
  <c r="N42" i="2" s="1"/>
  <c r="N43" i="2" s="1"/>
  <c r="N44" i="2" s="1"/>
  <c r="N45" i="2" s="1"/>
  <c r="N46" i="2" s="1"/>
  <c r="I41" i="2"/>
  <c r="I42" i="2" s="1"/>
  <c r="I43" i="2" s="1"/>
  <c r="I44" i="2" s="1"/>
  <c r="I45" i="2" s="1"/>
  <c r="I46" i="2" s="1"/>
  <c r="I47" i="2" s="1"/>
  <c r="I48" i="2" s="1"/>
  <c r="I49" i="2" s="1"/>
  <c r="I50" i="2" s="1"/>
  <c r="M41" i="2" s="1"/>
  <c r="I51" i="2"/>
  <c r="N31" i="2"/>
  <c r="N117" i="2" l="1"/>
  <c r="N47" i="2"/>
  <c r="K16" i="2"/>
  <c r="O8" i="2"/>
  <c r="R56" i="2" s="1"/>
  <c r="W9" i="2"/>
  <c r="AE8" i="2"/>
  <c r="X32" i="2"/>
  <c r="X31" i="2"/>
  <c r="W10" i="2"/>
  <c r="AA10" i="2" s="1"/>
  <c r="AE10" i="2" s="1"/>
  <c r="U17" i="2"/>
  <c r="Y17" i="2" s="1"/>
  <c r="U16" i="2"/>
  <c r="Y16" i="2" s="1"/>
  <c r="AC17" i="2"/>
  <c r="AG17" i="2" s="1"/>
  <c r="AC16" i="2"/>
  <c r="AG16" i="2" s="1"/>
  <c r="J37" i="2"/>
  <c r="L11" i="2"/>
  <c r="L10" i="2"/>
  <c r="N64" i="2" l="1"/>
  <c r="N118" i="2"/>
  <c r="AE11" i="2"/>
  <c r="AE12" i="2" s="1"/>
  <c r="AE13" i="2" s="1"/>
  <c r="AB14" i="2"/>
  <c r="AF14" i="2" s="1"/>
  <c r="O58" i="2"/>
  <c r="AB15" i="2"/>
  <c r="AF15" i="2" s="1"/>
  <c r="O59" i="2"/>
  <c r="AB17" i="2"/>
  <c r="AF17" i="2" s="1"/>
  <c r="O61" i="2"/>
  <c r="N48" i="2"/>
  <c r="T15" i="2"/>
  <c r="X15" i="2" s="1"/>
  <c r="T14" i="2"/>
  <c r="X14" i="2" s="1"/>
  <c r="T17" i="2"/>
  <c r="X17" i="2" s="1"/>
  <c r="K9" i="2"/>
  <c r="S11" i="2"/>
  <c r="S12" i="2" s="1"/>
  <c r="AA11" i="2"/>
  <c r="AA12" i="2" s="1"/>
  <c r="AA13" i="2" s="1"/>
  <c r="N119" i="2" l="1"/>
  <c r="O9" i="2"/>
  <c r="N57" i="2"/>
  <c r="N49" i="2"/>
  <c r="W11" i="2"/>
  <c r="R57" i="2" l="1"/>
  <c r="N120" i="2"/>
  <c r="R111" i="2" s="1"/>
  <c r="N50" i="2"/>
  <c r="S13" i="2"/>
  <c r="W12" i="2"/>
  <c r="W13" i="2" s="1"/>
  <c r="R41" i="2" l="1"/>
  <c r="B12" i="2"/>
  <c r="L12" i="2" s="1"/>
  <c r="L82" i="2" l="1"/>
  <c r="O60" i="2"/>
  <c r="AB16" i="2" l="1"/>
  <c r="AF16" i="2" s="1"/>
  <c r="T16" i="2"/>
  <c r="X16" i="2" s="1"/>
  <c r="C37" i="2" l="1"/>
  <c r="E17" i="2" l="1"/>
  <c r="B40" i="2" l="1"/>
  <c r="B39" i="2"/>
  <c r="O81" i="2" s="1"/>
  <c r="B51" i="2"/>
  <c r="B54" i="2" s="1"/>
  <c r="E16" i="2"/>
  <c r="K13" i="2" l="1"/>
  <c r="N61" i="2" s="1"/>
  <c r="K83" i="2"/>
  <c r="K12" i="2"/>
  <c r="N60" i="2" s="1"/>
  <c r="K10" i="2"/>
  <c r="N58" i="2" s="1"/>
  <c r="K80" i="2"/>
  <c r="K82" i="2"/>
  <c r="O80" i="2"/>
  <c r="M80" i="2"/>
  <c r="AA16" i="2"/>
  <c r="W16" i="2"/>
  <c r="Y18" i="2" s="1"/>
  <c r="S16" i="2"/>
  <c r="AE16" i="2"/>
  <c r="AG18" i="2" s="1"/>
  <c r="S17" i="2"/>
  <c r="W17" i="2" s="1"/>
  <c r="AA17" i="2"/>
  <c r="AE17" i="2" s="1"/>
  <c r="E50" i="2"/>
  <c r="M10" i="2"/>
  <c r="P58" i="2" s="1"/>
  <c r="O11" i="2"/>
  <c r="O10" i="2"/>
  <c r="R58" i="2" s="1"/>
  <c r="B47" i="2"/>
  <c r="B41" i="2"/>
  <c r="F16" i="2"/>
  <c r="K19" i="2" s="1"/>
  <c r="B53" i="2"/>
  <c r="B55" i="2" s="1"/>
  <c r="C51" i="2"/>
  <c r="E45" i="2" l="1"/>
  <c r="B25" i="2"/>
  <c r="B59" i="2" s="1"/>
  <c r="B60" i="2" s="1"/>
  <c r="B62" i="2" s="1"/>
  <c r="G30" i="2" s="1"/>
  <c r="H30" i="2" s="1"/>
  <c r="K81" i="2"/>
  <c r="K84" i="2" s="1"/>
  <c r="K88" i="2"/>
  <c r="O83" i="2"/>
  <c r="Q83" i="2"/>
  <c r="O82" i="2"/>
  <c r="Q82" i="2"/>
  <c r="K90" i="2"/>
  <c r="K89" i="2"/>
  <c r="M81" i="2"/>
  <c r="K18" i="2"/>
  <c r="N66" i="2" s="1"/>
  <c r="R59" i="2"/>
  <c r="AE19" i="2"/>
  <c r="W19" i="2"/>
  <c r="W18" i="2"/>
  <c r="Y19" i="2"/>
  <c r="AC14" i="2"/>
  <c r="U14" i="2"/>
  <c r="AA14" i="2"/>
  <c r="S14" i="2"/>
  <c r="O13" i="2"/>
  <c r="R61" i="2" s="1"/>
  <c r="Q12" i="2"/>
  <c r="O12" i="2"/>
  <c r="AE18" i="2"/>
  <c r="AG19" i="2"/>
  <c r="Q13" i="2"/>
  <c r="T61" i="2" s="1"/>
  <c r="K20" i="2"/>
  <c r="N68" i="2" s="1"/>
  <c r="K11" i="2"/>
  <c r="M11" i="2"/>
  <c r="P59" i="2" s="1"/>
  <c r="E46" i="2" l="1"/>
  <c r="E52" i="2"/>
  <c r="C62" i="2"/>
  <c r="O84" i="2"/>
  <c r="O85" i="2" s="1"/>
  <c r="Q84" i="2"/>
  <c r="Q85" i="2" s="1"/>
  <c r="K85" i="2"/>
  <c r="K87" i="2" s="1"/>
  <c r="O102" i="2"/>
  <c r="R60" i="2"/>
  <c r="T60" i="2"/>
  <c r="S15" i="2"/>
  <c r="W15" i="2" s="1"/>
  <c r="N59" i="2"/>
  <c r="AG20" i="2"/>
  <c r="AG21" i="2" s="1"/>
  <c r="AE20" i="2"/>
  <c r="AE21" i="2" s="1"/>
  <c r="Y20" i="2"/>
  <c r="Y21" i="2" s="1"/>
  <c r="W20" i="2"/>
  <c r="AE14" i="2"/>
  <c r="AG14" i="2"/>
  <c r="AC15" i="2"/>
  <c r="AG15" i="2" s="1"/>
  <c r="U15" i="2"/>
  <c r="Y15" i="2" s="1"/>
  <c r="W14" i="2"/>
  <c r="Y14" i="2"/>
  <c r="Q14" i="2"/>
  <c r="O14" i="2"/>
  <c r="B45" i="2"/>
  <c r="K14" i="2"/>
  <c r="AA15" i="2"/>
  <c r="AA20" i="2" s="1"/>
  <c r="B46" i="2" l="1"/>
  <c r="B48" i="2" s="1"/>
  <c r="B52" i="2"/>
  <c r="B56" i="2" s="1"/>
  <c r="P87" i="2"/>
  <c r="P86" i="2"/>
  <c r="O112" i="2"/>
  <c r="O120" i="2"/>
  <c r="O118" i="2"/>
  <c r="O113" i="2"/>
  <c r="O111" i="2"/>
  <c r="P111" i="2" s="1"/>
  <c r="O114" i="2"/>
  <c r="O117" i="2"/>
  <c r="O115" i="2"/>
  <c r="O116" i="2"/>
  <c r="O119" i="2"/>
  <c r="T62" i="2"/>
  <c r="R62" i="2"/>
  <c r="S18" i="2"/>
  <c r="S21" i="2" s="1"/>
  <c r="S23" i="2"/>
  <c r="S20" i="2"/>
  <c r="O104" i="2"/>
  <c r="O32" i="2"/>
  <c r="N67" i="2"/>
  <c r="K15" i="2"/>
  <c r="N62" i="2"/>
  <c r="AE22" i="2"/>
  <c r="AE23" i="2"/>
  <c r="W22" i="2"/>
  <c r="W21" i="2"/>
  <c r="W23" i="2" s="1"/>
  <c r="Q15" i="2"/>
  <c r="T63" i="2" s="1"/>
  <c r="Y32" i="2"/>
  <c r="K32" i="2"/>
  <c r="O15" i="2"/>
  <c r="R63" i="2" s="1"/>
  <c r="AA23" i="2"/>
  <c r="AE15" i="2"/>
  <c r="AA18" i="2"/>
  <c r="P16" i="2"/>
  <c r="S64" i="2" s="1"/>
  <c r="S24" i="2" l="1"/>
  <c r="P116" i="2"/>
  <c r="P117" i="2"/>
  <c r="P114" i="2"/>
  <c r="P119" i="2"/>
  <c r="P115" i="2"/>
  <c r="P113" i="2"/>
  <c r="P120" i="2"/>
  <c r="P118" i="2"/>
  <c r="P112" i="2"/>
  <c r="R112" i="2" s="1"/>
  <c r="N63" i="2"/>
  <c r="O103" i="2"/>
  <c r="T32" i="2"/>
  <c r="T43" i="2" s="1"/>
  <c r="O105" i="2"/>
  <c r="S22" i="2"/>
  <c r="S19" i="2"/>
  <c r="S25" i="2" s="1"/>
  <c r="O49" i="2"/>
  <c r="O41" i="2"/>
  <c r="O50" i="2"/>
  <c r="K17" i="2"/>
  <c r="N65" i="2" s="1"/>
  <c r="O48" i="2"/>
  <c r="O47" i="2"/>
  <c r="O46" i="2"/>
  <c r="C48" i="2"/>
  <c r="G22" i="2"/>
  <c r="H22" i="2" s="1"/>
  <c r="C56" i="2"/>
  <c r="G24" i="2"/>
  <c r="H24" i="2" s="1"/>
  <c r="W25" i="2"/>
  <c r="W29" i="2" s="1"/>
  <c r="P17" i="2"/>
  <c r="S65" i="2" s="1"/>
  <c r="W27" i="2"/>
  <c r="AE25" i="2"/>
  <c r="W24" i="2"/>
  <c r="W26" i="2" s="1"/>
  <c r="AE27" i="2"/>
  <c r="AE24" i="2"/>
  <c r="AE26" i="2" s="1"/>
  <c r="AA21" i="2"/>
  <c r="AA24" i="2" s="1"/>
  <c r="AA19" i="2"/>
  <c r="Y41" i="2"/>
  <c r="Y47" i="2"/>
  <c r="Y49" i="2"/>
  <c r="Y45" i="2"/>
  <c r="Y48" i="2"/>
  <c r="Y46" i="2"/>
  <c r="Y50" i="2"/>
  <c r="Y43" i="2"/>
  <c r="Y44" i="2"/>
  <c r="J45" i="2"/>
  <c r="J46" i="2"/>
  <c r="J50" i="2"/>
  <c r="J47" i="2"/>
  <c r="J49" i="2"/>
  <c r="J48" i="2"/>
  <c r="J42" i="2"/>
  <c r="O45" i="2"/>
  <c r="O44" i="2"/>
  <c r="O34" i="2"/>
  <c r="O43" i="2"/>
  <c r="O42" i="2"/>
  <c r="Y42" i="2"/>
  <c r="J41" i="2"/>
  <c r="J44" i="2"/>
  <c r="J43" i="2"/>
  <c r="K34" i="2"/>
  <c r="AA22" i="2"/>
  <c r="R119" i="2" l="1"/>
  <c r="R120" i="2"/>
  <c r="R113" i="2"/>
  <c r="R114" i="2"/>
  <c r="R115" i="2"/>
  <c r="R117" i="2"/>
  <c r="R118" i="2"/>
  <c r="R116" i="2"/>
  <c r="O106" i="2"/>
  <c r="O107" i="2" s="1"/>
  <c r="T49" i="2"/>
  <c r="T45" i="2"/>
  <c r="T47" i="2"/>
  <c r="T42" i="2"/>
  <c r="T48" i="2"/>
  <c r="T41" i="2"/>
  <c r="T46" i="2"/>
  <c r="T44" i="2"/>
  <c r="T50" i="2"/>
  <c r="Y33" i="2"/>
  <c r="T33" i="2"/>
  <c r="P41" i="2"/>
  <c r="Q41" i="2" s="1"/>
  <c r="O33" i="2"/>
  <c r="K33" i="2"/>
  <c r="Q115" i="2"/>
  <c r="Q120" i="2"/>
  <c r="P43" i="2"/>
  <c r="O35" i="2"/>
  <c r="K42" i="2"/>
  <c r="K43" i="2"/>
  <c r="P47" i="2"/>
  <c r="K44" i="2"/>
  <c r="P49" i="2"/>
  <c r="K49" i="2"/>
  <c r="K47" i="2"/>
  <c r="P50" i="2"/>
  <c r="P44" i="2"/>
  <c r="P46" i="2"/>
  <c r="K50" i="2"/>
  <c r="K45" i="2"/>
  <c r="K41" i="2"/>
  <c r="L41" i="2" s="1"/>
  <c r="P42" i="2"/>
  <c r="K48" i="2"/>
  <c r="P48" i="2"/>
  <c r="K35" i="2"/>
  <c r="P45" i="2"/>
  <c r="K46" i="2"/>
  <c r="W28" i="2"/>
  <c r="AA25" i="2"/>
  <c r="Y34" i="2"/>
  <c r="AE29" i="2"/>
  <c r="AE28" i="2"/>
  <c r="R42" i="2" l="1"/>
  <c r="O36" i="2"/>
  <c r="O37" i="2" s="1"/>
  <c r="K36" i="2"/>
  <c r="K37" i="2" s="1"/>
  <c r="Q111" i="2"/>
  <c r="Q112" i="2"/>
  <c r="Q118" i="2"/>
  <c r="Q119" i="2"/>
  <c r="Q116" i="2"/>
  <c r="Q117" i="2"/>
  <c r="Q113" i="2"/>
  <c r="Q114" i="2"/>
  <c r="Z49" i="2"/>
  <c r="Q44" i="2"/>
  <c r="M45" i="2"/>
  <c r="R50" i="2"/>
  <c r="Q46" i="2"/>
  <c r="L44" i="2"/>
  <c r="M44" i="2"/>
  <c r="L43" i="2"/>
  <c r="M43" i="2"/>
  <c r="Q50" i="2"/>
  <c r="R44" i="2"/>
  <c r="L47" i="2"/>
  <c r="L50" i="2"/>
  <c r="M50" i="2"/>
  <c r="Q47" i="2"/>
  <c r="R47" i="2"/>
  <c r="Q48" i="2"/>
  <c r="M49" i="2"/>
  <c r="Q42" i="2"/>
  <c r="L45" i="2"/>
  <c r="R43" i="2"/>
  <c r="Q43" i="2"/>
  <c r="M48" i="2"/>
  <c r="R46" i="2"/>
  <c r="R49" i="2"/>
  <c r="M46" i="2"/>
  <c r="M47" i="2"/>
  <c r="L46" i="2"/>
  <c r="L49" i="2"/>
  <c r="L48" i="2"/>
  <c r="Q45" i="2"/>
  <c r="Q49" i="2"/>
  <c r="R48" i="2"/>
  <c r="R45" i="2"/>
  <c r="M42" i="2"/>
  <c r="L42" i="2"/>
  <c r="Z47" i="2"/>
  <c r="Z43" i="2"/>
  <c r="Z42" i="2"/>
  <c r="Z41" i="2"/>
  <c r="Z50" i="2"/>
  <c r="Z48" i="2"/>
  <c r="Z46" i="2"/>
  <c r="Z44" i="2"/>
  <c r="Y35" i="2"/>
  <c r="Y37" i="2" s="1"/>
  <c r="Z45" i="2"/>
  <c r="U49" i="2"/>
  <c r="U41" i="2"/>
  <c r="U48" i="2"/>
  <c r="U42" i="2"/>
  <c r="U47" i="2"/>
  <c r="U46" i="2"/>
  <c r="U45" i="2"/>
  <c r="U44" i="2"/>
  <c r="U50" i="2"/>
  <c r="T35" i="2"/>
  <c r="T37" i="2" s="1"/>
  <c r="U43" i="2"/>
  <c r="T34" i="2"/>
  <c r="T36" i="2" s="1"/>
  <c r="Y36" i="2"/>
  <c r="AB43" i="2" l="1"/>
  <c r="O121" i="2"/>
  <c r="B88" i="2" s="1"/>
  <c r="C88" i="2" s="1"/>
  <c r="V42" i="2"/>
  <c r="AA41" i="2"/>
  <c r="AA42" i="2"/>
  <c r="AB42" i="2"/>
  <c r="AB49" i="2"/>
  <c r="AB50" i="2"/>
  <c r="J51" i="2"/>
  <c r="B78" i="2" s="1"/>
  <c r="AA46" i="2"/>
  <c r="O51" i="2"/>
  <c r="B79" i="2" s="1"/>
  <c r="AA44" i="2"/>
  <c r="AA48" i="2"/>
  <c r="AB47" i="2"/>
  <c r="AA50" i="2"/>
  <c r="AA47" i="2"/>
  <c r="AB48" i="2"/>
  <c r="AA49" i="2"/>
  <c r="AA43" i="2"/>
  <c r="AB44" i="2"/>
  <c r="AB46" i="2"/>
  <c r="AA45" i="2"/>
  <c r="AB45" i="2"/>
  <c r="V50" i="2"/>
  <c r="W50" i="2"/>
  <c r="V49" i="2"/>
  <c r="W49" i="2"/>
  <c r="V48" i="2"/>
  <c r="W48" i="2"/>
  <c r="V41" i="2"/>
  <c r="W45" i="2"/>
  <c r="W42" i="2"/>
  <c r="W43" i="2"/>
  <c r="W47" i="2"/>
  <c r="V47" i="2"/>
  <c r="W44" i="2"/>
  <c r="W46" i="2"/>
  <c r="V46" i="2"/>
  <c r="V44" i="2"/>
  <c r="V45" i="2"/>
  <c r="V43" i="2"/>
  <c r="T38" i="2"/>
  <c r="Y38" i="2"/>
  <c r="Y39" i="2" s="1"/>
  <c r="G28" i="2" l="1"/>
  <c r="H28" i="2" s="1"/>
  <c r="B83" i="2"/>
  <c r="E87" i="2" s="1"/>
  <c r="Y51" i="2"/>
  <c r="B81" i="2" s="1"/>
  <c r="T51" i="2"/>
  <c r="B80" i="2" s="1"/>
  <c r="E88" i="2" l="1"/>
  <c r="C87" i="2"/>
  <c r="T39" i="2"/>
  <c r="B82" i="2" s="1"/>
  <c r="E85" i="2" s="1"/>
  <c r="C86" i="2" l="1"/>
  <c r="C85" i="2"/>
  <c r="G26" i="2" s="1"/>
  <c r="H26" i="2" s="1"/>
  <c r="E86" i="2"/>
</calcChain>
</file>

<file path=xl/sharedStrings.xml><?xml version="1.0" encoding="utf-8"?>
<sst xmlns="http://schemas.openxmlformats.org/spreadsheetml/2006/main" count="330" uniqueCount="148">
  <si>
    <t>kPa</t>
  </si>
  <si>
    <t>m</t>
  </si>
  <si>
    <t>f'c=</t>
  </si>
  <si>
    <t>mm</t>
  </si>
  <si>
    <t>qu=</t>
  </si>
  <si>
    <t>kN/m</t>
  </si>
  <si>
    <t>Mu=</t>
  </si>
  <si>
    <t>kN.m</t>
  </si>
  <si>
    <t>Diameter</t>
  </si>
  <si>
    <t>Vu=</t>
  </si>
  <si>
    <t>Spacing</t>
  </si>
  <si>
    <t>Av/s</t>
  </si>
  <si>
    <t>kN</t>
  </si>
  <si>
    <t>آرماتور منفی انتهای تیرچه</t>
  </si>
  <si>
    <t>L/240=</t>
  </si>
  <si>
    <t>MPa</t>
  </si>
  <si>
    <t>mm^2</t>
  </si>
  <si>
    <t>h (ارتفاع کل تیرچه) =</t>
  </si>
  <si>
    <t>Live ( بار زنده) =</t>
  </si>
  <si>
    <t>phi*Mn=</t>
  </si>
  <si>
    <t>As=</t>
  </si>
  <si>
    <t>d (ارتفاع موثر تیرچه) =</t>
  </si>
  <si>
    <t>phi*Vn=</t>
  </si>
  <si>
    <t>چه کسری از بار Live دائمی محسوب می شود؟</t>
  </si>
  <si>
    <t>C</t>
  </si>
  <si>
    <t>f</t>
  </si>
  <si>
    <t>r</t>
  </si>
  <si>
    <t>d'</t>
  </si>
  <si>
    <t xml:space="preserve"> Dead ( مرده بتن سقف )=</t>
  </si>
  <si>
    <t>آرماتور فوقانی لازم برای هر تیرچه</t>
  </si>
  <si>
    <t>آرماتور زیگزاگ (برشی) هر تک تیرچه</t>
  </si>
  <si>
    <t>phi*Vc=</t>
  </si>
  <si>
    <t>phi*Vs=</t>
  </si>
  <si>
    <t>delta (total)=(CASE1-CASE2)+(CASE3-CASE4)=</t>
  </si>
  <si>
    <t>delta (LIVE)=(CASE1-CASE2)=</t>
  </si>
  <si>
    <t>L/480=</t>
  </si>
  <si>
    <t>L/360=</t>
  </si>
  <si>
    <t>www.hoseinzadeh.net</t>
  </si>
  <si>
    <t>fy (میلگرد طولی تیرچه) =</t>
  </si>
  <si>
    <t>fyt (میلگرد عرضی تیرچه) =</t>
  </si>
  <si>
    <t>S (فاصله خالص تیرچه ها مطابق شکل)=</t>
  </si>
  <si>
    <t>t ( ضحامت دال بتنی مطابق شکل) =</t>
  </si>
  <si>
    <t>Single or double? ( D: دوبل تیرچه  S: تک تیرچه)</t>
  </si>
  <si>
    <t>0.6*(A*I) جهت محاسبه اثر زلزله قائم</t>
  </si>
  <si>
    <r>
      <t>mm</t>
    </r>
    <r>
      <rPr>
        <i/>
        <sz val="10"/>
        <color theme="1"/>
        <rFont val="Tahoma"/>
        <family val="2"/>
      </rPr>
      <t>2</t>
    </r>
  </si>
  <si>
    <t>Ratio (M)</t>
  </si>
  <si>
    <t>Ratio (V)</t>
  </si>
  <si>
    <t>W (عرض تک تیرچه مطابق شکل)=</t>
  </si>
  <si>
    <r>
      <rPr>
        <sz val="14"/>
        <rFont val="Tahoma"/>
        <family val="2"/>
      </rPr>
      <t xml:space="preserve">Number </t>
    </r>
    <r>
      <rPr>
        <i/>
        <sz val="14"/>
        <rFont val="Tahoma"/>
        <family val="2"/>
      </rPr>
      <t>(</t>
    </r>
    <r>
      <rPr>
        <b/>
        <i/>
        <sz val="14"/>
        <rFont val="Tahoma"/>
        <family val="2"/>
      </rPr>
      <t>one joist</t>
    </r>
    <r>
      <rPr>
        <i/>
        <sz val="14"/>
        <rFont val="Tahoma"/>
        <family val="2"/>
      </rPr>
      <t xml:space="preserve">) </t>
    </r>
  </si>
  <si>
    <t>سایز آرماتور افت و حرارت (در کنترل خیز تاثیرگذار است)</t>
  </si>
  <si>
    <t>آرماتور طولی کلاف میانی</t>
  </si>
  <si>
    <t>چه کسری از بار SD و P قبل از اتصال قطعات غیر سازه ای وارد می شود؟</t>
  </si>
  <si>
    <t>مقطع ترک نخورده قبل از گذر زمان</t>
  </si>
  <si>
    <t>Af</t>
  </si>
  <si>
    <t>(n-1)*As</t>
  </si>
  <si>
    <t>(n-1)*A's</t>
  </si>
  <si>
    <t>Ec</t>
  </si>
  <si>
    <t>n=Es/Ec</t>
  </si>
  <si>
    <t>I</t>
  </si>
  <si>
    <t>Aw,Yw,Iw</t>
  </si>
  <si>
    <t>Y (from top)</t>
  </si>
  <si>
    <t>مقطع ترک خورده قبل از گذر زمان</t>
  </si>
  <si>
    <t>B</t>
  </si>
  <si>
    <t>nAs</t>
  </si>
  <si>
    <t>Y(from top)</t>
  </si>
  <si>
    <t>I=</t>
  </si>
  <si>
    <t>Y (from Top)</t>
  </si>
  <si>
    <t>fr</t>
  </si>
  <si>
    <t>Mcr</t>
  </si>
  <si>
    <t>M-D</t>
  </si>
  <si>
    <t>M-SD</t>
  </si>
  <si>
    <t>M-L</t>
  </si>
  <si>
    <r>
      <t>z</t>
    </r>
    <r>
      <rPr>
        <sz val="18"/>
        <color theme="1"/>
        <rFont val="Times New Roman"/>
        <family val="1"/>
      </rPr>
      <t xml:space="preserve"> (short term)</t>
    </r>
    <r>
      <rPr>
        <sz val="18"/>
        <color theme="1"/>
        <rFont val="Symbol"/>
        <family val="1"/>
        <charset val="2"/>
      </rPr>
      <t>=</t>
    </r>
  </si>
  <si>
    <r>
      <t>z</t>
    </r>
    <r>
      <rPr>
        <sz val="18"/>
        <color theme="1"/>
        <rFont val="Times New Roman"/>
        <family val="1"/>
      </rPr>
      <t xml:space="preserve"> (Long term)</t>
    </r>
    <r>
      <rPr>
        <sz val="18"/>
        <color theme="1"/>
        <rFont val="Symbol"/>
        <family val="1"/>
        <charset val="2"/>
      </rPr>
      <t>=</t>
    </r>
  </si>
  <si>
    <r>
      <rPr>
        <i/>
        <sz val="18"/>
        <color theme="1"/>
        <rFont val="Symbol"/>
        <family val="1"/>
        <charset val="2"/>
      </rPr>
      <t>y</t>
    </r>
    <r>
      <rPr>
        <sz val="18"/>
        <color theme="1"/>
        <rFont val="Times New Roman"/>
        <family val="1"/>
      </rPr>
      <t>1 (t0)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Ma/EI</t>
    </r>
    <r>
      <rPr>
        <sz val="18"/>
        <color theme="1"/>
        <rFont val="Symbol"/>
        <family val="1"/>
        <charset val="2"/>
      </rPr>
      <t>=</t>
    </r>
  </si>
  <si>
    <r>
      <rPr>
        <i/>
        <sz val="18"/>
        <color theme="1"/>
        <rFont val="Symbol"/>
        <family val="1"/>
        <charset val="2"/>
      </rPr>
      <t>y</t>
    </r>
    <r>
      <rPr>
        <sz val="18"/>
        <color theme="1"/>
        <rFont val="Times New Roman"/>
        <family val="1"/>
      </rPr>
      <t>2 (t0)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Ma/EI</t>
    </r>
    <r>
      <rPr>
        <sz val="18"/>
        <color theme="1"/>
        <rFont val="Symbol"/>
        <family val="1"/>
        <charset val="2"/>
      </rPr>
      <t>=</t>
    </r>
  </si>
  <si>
    <r>
      <rPr>
        <i/>
        <sz val="18"/>
        <color theme="1"/>
        <rFont val="Symbol"/>
        <family val="1"/>
        <charset val="2"/>
      </rPr>
      <t>y</t>
    </r>
    <r>
      <rPr>
        <sz val="18"/>
        <color theme="1"/>
        <rFont val="Times New Roman"/>
        <family val="1"/>
      </rPr>
      <t xml:space="preserve"> (t0)</t>
    </r>
    <r>
      <rPr>
        <sz val="18"/>
        <color theme="1"/>
        <rFont val="Symbol"/>
        <family val="1"/>
        <charset val="2"/>
      </rPr>
      <t>=</t>
    </r>
  </si>
  <si>
    <t>Ma-(D+SD+L) =</t>
  </si>
  <si>
    <r>
      <rPr>
        <i/>
        <sz val="18"/>
        <color theme="1"/>
        <rFont val="Symbol"/>
        <family val="1"/>
        <charset val="2"/>
      </rPr>
      <t>f</t>
    </r>
    <r>
      <rPr>
        <sz val="18"/>
        <color theme="1"/>
        <rFont val="Times New Roman"/>
        <family val="1"/>
      </rPr>
      <t xml:space="preserve"> (t,t0)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creep coefficient=</t>
    </r>
  </si>
  <si>
    <r>
      <rPr>
        <i/>
        <sz val="18"/>
        <color theme="1"/>
        <rFont val="Symbol"/>
        <family val="1"/>
        <charset val="2"/>
      </rPr>
      <t>c</t>
    </r>
    <r>
      <rPr>
        <sz val="18"/>
        <color theme="1"/>
        <rFont val="Times New Roman"/>
        <family val="1"/>
      </rPr>
      <t xml:space="preserve"> (t,t0)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aging coefficient=</t>
    </r>
  </si>
  <si>
    <t>Ec (t,t0)= Age-adjusted Ec=</t>
  </si>
  <si>
    <t>n=</t>
  </si>
  <si>
    <t>Ec=</t>
  </si>
  <si>
    <t>n*As</t>
  </si>
  <si>
    <t>مقطع ترک نخورده پس از 3 ماه</t>
  </si>
  <si>
    <t>مقطع ترک نخورده پس از زمان طولانی (5 سال)</t>
  </si>
  <si>
    <t>Yc</t>
  </si>
  <si>
    <t>Yc-Y</t>
  </si>
  <si>
    <t>Ic</t>
  </si>
  <si>
    <t>Ac</t>
  </si>
  <si>
    <t>rC^2</t>
  </si>
  <si>
    <t>Kc</t>
  </si>
  <si>
    <r>
      <rPr>
        <i/>
        <sz val="20"/>
        <color theme="1"/>
        <rFont val="Symbol"/>
        <family val="1"/>
        <charset val="2"/>
      </rPr>
      <t>e</t>
    </r>
    <r>
      <rPr>
        <i/>
        <sz val="12"/>
        <color theme="1"/>
        <rFont val="Times New Roman"/>
        <family val="1"/>
      </rPr>
      <t>cs</t>
    </r>
    <r>
      <rPr>
        <sz val="18"/>
        <color theme="1"/>
        <rFont val="Times New Roman"/>
        <family val="1"/>
      </rPr>
      <t xml:space="preserve"> (t,t0)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Shrinkage=</t>
    </r>
  </si>
  <si>
    <t>مقطع ترک خورده پس از زمان طولانی (5 سال)</t>
  </si>
  <si>
    <r>
      <rPr>
        <sz val="18"/>
        <color theme="1"/>
        <rFont val="Times New Roman"/>
        <family val="1"/>
      </rPr>
      <t xml:space="preserve">delta </t>
    </r>
    <r>
      <rPr>
        <sz val="18"/>
        <color theme="1"/>
        <rFont val="Symbol"/>
        <family val="1"/>
        <charset val="2"/>
      </rPr>
      <t>y1=</t>
    </r>
  </si>
  <si>
    <r>
      <rPr>
        <sz val="18"/>
        <color theme="1"/>
        <rFont val="Times New Roman"/>
        <family val="1"/>
      </rPr>
      <t xml:space="preserve">delta </t>
    </r>
    <r>
      <rPr>
        <sz val="18"/>
        <color theme="1"/>
        <rFont val="Symbol"/>
        <family val="1"/>
        <charset val="2"/>
      </rPr>
      <t>y2=</t>
    </r>
  </si>
  <si>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Symbol"/>
        <family val="1"/>
        <charset val="2"/>
      </rPr>
      <t>y1=</t>
    </r>
  </si>
  <si>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Symbol"/>
        <family val="1"/>
        <charset val="2"/>
      </rPr>
      <t xml:space="preserve">y </t>
    </r>
    <r>
      <rPr>
        <sz val="18"/>
        <color theme="1"/>
        <rFont val="Times New Roman"/>
        <family val="1"/>
      </rPr>
      <t>(AVE)=</t>
    </r>
  </si>
  <si>
    <t>y2=</t>
  </si>
  <si>
    <t>مقطع ترک خورده پس از 3 ماه</t>
  </si>
  <si>
    <t>CASE1: D+SD+Live    (without Creep)</t>
  </si>
  <si>
    <t>Ma</t>
  </si>
  <si>
    <t>جمع مساحت آرماتور فشاری قرار داده شده در تیرچه ها(همراه با حرارتی)</t>
  </si>
  <si>
    <t>CASE 1=</t>
  </si>
  <si>
    <t>CASE 2=</t>
  </si>
  <si>
    <t>CASE 3=</t>
  </si>
  <si>
    <t>CASE 4=</t>
  </si>
  <si>
    <t>خمش</t>
  </si>
  <si>
    <t xml:space="preserve">برش </t>
  </si>
  <si>
    <t>خیز</t>
  </si>
  <si>
    <t>لرزش</t>
  </si>
  <si>
    <t>freq=</t>
  </si>
  <si>
    <r>
      <rPr>
        <i/>
        <sz val="20"/>
        <color theme="1"/>
        <rFont val="Symbol"/>
        <family val="1"/>
        <charset val="2"/>
      </rPr>
      <t>e</t>
    </r>
    <r>
      <rPr>
        <i/>
        <sz val="12"/>
        <color theme="1"/>
        <rFont val="Times New Roman"/>
        <family val="1"/>
      </rPr>
      <t>cs</t>
    </r>
    <r>
      <rPr>
        <sz val="18"/>
        <color theme="1"/>
        <rFont val="Times New Roman"/>
        <family val="1"/>
      </rPr>
      <t xml:space="preserve"> (3month,t0)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Shrinkage=</t>
    </r>
    <r>
      <rPr>
        <sz val="18"/>
        <color theme="1"/>
        <rFont val="Symbol"/>
        <family val="1"/>
        <charset val="2"/>
      </rPr>
      <t xml:space="preserve">  </t>
    </r>
  </si>
  <si>
    <r>
      <rPr>
        <i/>
        <sz val="18"/>
        <color theme="1"/>
        <rFont val="Symbol"/>
        <family val="1"/>
        <charset val="2"/>
      </rPr>
      <t>f</t>
    </r>
    <r>
      <rPr>
        <sz val="18"/>
        <color theme="1"/>
        <rFont val="Times New Roman"/>
        <family val="1"/>
      </rPr>
      <t xml:space="preserve"> (3month,t0)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creep coefficient=</t>
    </r>
    <r>
      <rPr>
        <sz val="18"/>
        <color theme="1"/>
        <rFont val="Symbol"/>
        <family val="1"/>
        <charset val="2"/>
      </rPr>
      <t xml:space="preserve">  </t>
    </r>
  </si>
  <si>
    <r>
      <rPr>
        <i/>
        <sz val="20"/>
        <color theme="1"/>
        <rFont val="Symbol"/>
        <family val="1"/>
        <charset val="2"/>
      </rPr>
      <t>e</t>
    </r>
    <r>
      <rPr>
        <i/>
        <sz val="12"/>
        <color theme="1"/>
        <rFont val="Times New Roman"/>
        <family val="1"/>
      </rPr>
      <t>cs</t>
    </r>
    <r>
      <rPr>
        <sz val="18"/>
        <color theme="1"/>
        <rFont val="Times New Roman"/>
        <family val="1"/>
      </rPr>
      <t xml:space="preserve"> (Long term,t0)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Shrinkage=</t>
    </r>
    <r>
      <rPr>
        <sz val="18"/>
        <color theme="1"/>
        <rFont val="Symbol"/>
        <family val="1"/>
        <charset val="2"/>
      </rPr>
      <t xml:space="preserve">  </t>
    </r>
  </si>
  <si>
    <r>
      <rPr>
        <i/>
        <sz val="18"/>
        <color theme="1"/>
        <rFont val="Symbol"/>
        <family val="1"/>
        <charset val="2"/>
      </rPr>
      <t>f</t>
    </r>
    <r>
      <rPr>
        <sz val="18"/>
        <color theme="1"/>
        <rFont val="Times New Roman"/>
        <family val="1"/>
      </rPr>
      <t xml:space="preserve"> (Long term,t0)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creep coefficient=</t>
    </r>
    <r>
      <rPr>
        <sz val="18"/>
        <color theme="1"/>
        <rFont val="Symbol"/>
        <family val="1"/>
        <charset val="2"/>
      </rPr>
      <t xml:space="preserve">  </t>
    </r>
  </si>
  <si>
    <r>
      <rPr>
        <i/>
        <sz val="18"/>
        <color theme="1"/>
        <rFont val="Symbol"/>
        <family val="1"/>
        <charset val="2"/>
      </rPr>
      <t>c</t>
    </r>
    <r>
      <rPr>
        <sz val="18"/>
        <color theme="1"/>
        <rFont val="Times New Roman"/>
        <family val="1"/>
      </rPr>
      <t xml:space="preserve"> (t,t0)</t>
    </r>
    <r>
      <rPr>
        <sz val="18"/>
        <color theme="1"/>
        <rFont val="Symbol"/>
        <family val="1"/>
        <charset val="2"/>
      </rPr>
      <t>=</t>
    </r>
    <r>
      <rPr>
        <sz val="18"/>
        <color theme="1"/>
        <rFont val="Times New Roman"/>
        <family val="1"/>
      </rPr>
      <t>aging coefficient=</t>
    </r>
    <r>
      <rPr>
        <sz val="18"/>
        <color theme="1"/>
        <rFont val="Symbol"/>
        <family val="1"/>
        <charset val="2"/>
      </rPr>
      <t xml:space="preserve">  </t>
    </r>
  </si>
  <si>
    <t>مقطع ترک نخورده قبل از گذر زمان (با مدول الاستیسیته 1.25 برابر)</t>
  </si>
  <si>
    <t>مقطع ترک خورده قبل از گذر زمان  (با مدول الاستیسیته 1.25 برابر)</t>
  </si>
  <si>
    <t>فرکانس مجاز سقف</t>
  </si>
  <si>
    <t>Partition (مرده تیغه بندی )=</t>
  </si>
  <si>
    <t>M-SD+M-P</t>
  </si>
  <si>
    <t>( هر تک تیرچه)</t>
  </si>
  <si>
    <t>آرماتور کششی پایین</t>
  </si>
  <si>
    <t>کنترل مقاومت خمشی تیرچه و طراحی میلگردهای کششی تحتانی</t>
  </si>
  <si>
    <t>کنترل مقاومت برشی تیرچه</t>
  </si>
  <si>
    <t>Point load ( بار زنده متمرکز احتمالی جهت کنترل پانچ بتن رویه )=</t>
  </si>
  <si>
    <t>Size of Point load ( ابعاد بار زنده متمرکز احتمالی جهت کنترل پانچ بتن رویه )=</t>
  </si>
  <si>
    <t>کنترل برش پانچ  بتن رویه تحت بار متمرکز</t>
  </si>
  <si>
    <t>کنترل ضخامت بتن رویه برای خمش یک طرفه (با فرض غیرمسلح بودن بتن)</t>
  </si>
  <si>
    <t>Pu</t>
  </si>
  <si>
    <t>خمش بتن رویه</t>
  </si>
  <si>
    <t>پانچ بتن رویه</t>
  </si>
  <si>
    <t>مراجع</t>
  </si>
  <si>
    <t>Ghali, A., Favre, R., &amp; Elbadry, M. (2006). Concrete structures: Stresses and deformations</t>
  </si>
  <si>
    <t>ACI Committee. (2008). ACI 209R–92 Prediction of Creep, Shrinkage, and Temperature Effects in Concrete Structures. Farmington Hills.</t>
  </si>
  <si>
    <t xml:space="preserve">   آقازاده، پ.، آقازاده، ص.، (1397)، محاسب حرفه ای (جلد اول)،  انتشارات پردیس علم، </t>
  </si>
  <si>
    <t>https://telegram.me/hoseinzadehasl</t>
  </si>
  <si>
    <t>https://www.instagram.com/masoud_hoseinzadeh_asl</t>
  </si>
  <si>
    <t xml:space="preserve">   مبحث نهم مقررات ملی ساختمان، ویرایش پنجم، 1399</t>
  </si>
  <si>
    <t>Supper Dead ( مرده کف سازی )=</t>
  </si>
  <si>
    <t>f8</t>
  </si>
  <si>
    <t>S</t>
  </si>
  <si>
    <t>f10</t>
  </si>
  <si>
    <t>2f10</t>
  </si>
  <si>
    <t>f12</t>
  </si>
  <si>
    <t>f14</t>
  </si>
  <si>
    <t>L (طول آزاد تیرچه)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</si>
</sst>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0.00000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4"/>
      <name val="Tahoma"/>
      <family val="2"/>
    </font>
    <font>
      <sz val="12"/>
      <name val="Tahoma"/>
      <family val="2"/>
    </font>
    <font>
      <sz val="11"/>
      <color theme="1"/>
      <name val="Tahoma"/>
      <family val="2"/>
    </font>
    <font>
      <i/>
      <sz val="14"/>
      <name val="Tahoma"/>
      <family val="2"/>
    </font>
    <font>
      <b/>
      <i/>
      <sz val="14"/>
      <name val="Tahoma"/>
      <family val="2"/>
    </font>
    <font>
      <i/>
      <sz val="12"/>
      <name val="Tahoma"/>
      <family val="2"/>
    </font>
    <font>
      <sz val="11"/>
      <color theme="0"/>
      <name val="Tahoma"/>
      <family val="2"/>
    </font>
    <font>
      <i/>
      <sz val="10"/>
      <color theme="1"/>
      <name val="Tahoma"/>
      <family val="2"/>
    </font>
    <font>
      <b/>
      <sz val="14"/>
      <color theme="1"/>
      <name val="Tahoma"/>
      <family val="2"/>
    </font>
    <font>
      <sz val="18"/>
      <color theme="1"/>
      <name val="Symbol"/>
      <family val="1"/>
      <charset val="2"/>
    </font>
    <font>
      <sz val="18"/>
      <color theme="1"/>
      <name val="Times New Roman"/>
      <family val="1"/>
    </font>
    <font>
      <i/>
      <sz val="18"/>
      <color theme="1"/>
      <name val="Symbol"/>
      <family val="1"/>
      <charset val="2"/>
    </font>
    <font>
      <i/>
      <sz val="12"/>
      <color theme="1"/>
      <name val="Times New Roman"/>
      <family val="1"/>
    </font>
    <font>
      <i/>
      <sz val="20"/>
      <color theme="1"/>
      <name val="Symbol"/>
      <family val="1"/>
      <charset val="2"/>
    </font>
    <font>
      <sz val="15"/>
      <color theme="1"/>
      <name val="Times New Roman"/>
      <family val="1"/>
    </font>
    <font>
      <i/>
      <sz val="12"/>
      <color theme="0"/>
      <name val="Times New Roman"/>
      <family val="1"/>
    </font>
    <font>
      <sz val="12"/>
      <name val="Symbol"/>
      <family val="1"/>
      <charset val="2"/>
    </font>
    <font>
      <b/>
      <sz val="14"/>
      <name val="Tahoma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Tahoma"/>
      <family val="2"/>
    </font>
    <font>
      <sz val="22"/>
      <name val="B Zar"/>
      <charset val="178"/>
    </font>
    <font>
      <sz val="22"/>
      <color theme="1"/>
      <name val="Calibri"/>
      <family val="2"/>
      <scheme val="minor"/>
    </font>
    <font>
      <sz val="22"/>
      <color theme="1"/>
      <name val="Tahoma"/>
      <family val="2"/>
    </font>
    <font>
      <b/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10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 vertical="center"/>
    </xf>
    <xf numFmtId="0" fontId="13" fillId="0" borderId="9" xfId="0" applyFont="1" applyBorder="1" applyAlignment="1">
      <alignment horizontal="right"/>
    </xf>
    <xf numFmtId="0" fontId="12" fillId="0" borderId="0" xfId="0" applyFont="1"/>
    <xf numFmtId="0" fontId="8" fillId="3" borderId="9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5" fillId="5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0" borderId="9" xfId="0" applyFont="1" applyBorder="1" applyAlignment="1">
      <alignment horizontal="right" vertical="center"/>
    </xf>
    <xf numFmtId="0" fontId="15" fillId="5" borderId="7" xfId="0" applyFont="1" applyFill="1" applyBorder="1" applyAlignment="1">
      <alignment horizontal="right" vertical="center"/>
    </xf>
    <xf numFmtId="164" fontId="15" fillId="5" borderId="0" xfId="0" applyNumberFormat="1" applyFont="1" applyFill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7" fontId="0" fillId="0" borderId="0" xfId="0" applyNumberFormat="1"/>
    <xf numFmtId="0" fontId="2" fillId="5" borderId="14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9" xfId="0" applyBorder="1"/>
    <xf numFmtId="0" fontId="0" fillId="0" borderId="17" xfId="0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0" fontId="0" fillId="0" borderId="20" xfId="0" applyBorder="1"/>
    <xf numFmtId="0" fontId="0" fillId="0" borderId="16" xfId="0" applyBorder="1"/>
    <xf numFmtId="0" fontId="19" fillId="0" borderId="14" xfId="0" applyFont="1" applyBorder="1" applyAlignment="1">
      <alignment horizontal="center"/>
    </xf>
    <xf numFmtId="0" fontId="2" fillId="5" borderId="15" xfId="0" applyFont="1" applyFill="1" applyBorder="1" applyAlignment="1">
      <alignment horizontal="right" vertical="center"/>
    </xf>
    <xf numFmtId="0" fontId="19" fillId="0" borderId="14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7" fillId="0" borderId="18" xfId="0" applyFont="1" applyBorder="1"/>
    <xf numFmtId="0" fontId="20" fillId="0" borderId="15" xfId="0" applyFont="1" applyBorder="1" applyAlignment="1">
      <alignment horizontal="center" wrapText="1"/>
    </xf>
    <xf numFmtId="0" fontId="1" fillId="5" borderId="14" xfId="0" applyFont="1" applyFill="1" applyBorder="1" applyAlignment="1">
      <alignment horizontal="right" vertical="center"/>
    </xf>
    <xf numFmtId="0" fontId="20" fillId="0" borderId="14" xfId="0" applyFont="1" applyBorder="1" applyAlignment="1">
      <alignment horizontal="center"/>
    </xf>
    <xf numFmtId="0" fontId="2" fillId="5" borderId="21" xfId="0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19" fillId="0" borderId="13" xfId="0" applyFont="1" applyBorder="1" applyAlignment="1">
      <alignment horizontal="center"/>
    </xf>
    <xf numFmtId="0" fontId="24" fillId="5" borderId="14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right" vertical="center"/>
    </xf>
    <xf numFmtId="0" fontId="19" fillId="0" borderId="19" xfId="0" applyFont="1" applyBorder="1" applyAlignment="1">
      <alignment horizontal="center"/>
    </xf>
    <xf numFmtId="0" fontId="25" fillId="0" borderId="0" xfId="0" applyFont="1"/>
    <xf numFmtId="164" fontId="1" fillId="3" borderId="0" xfId="0" applyNumberFormat="1" applyFont="1" applyFill="1" applyAlignment="1">
      <alignment horizontal="center" vertical="center"/>
    </xf>
    <xf numFmtId="164" fontId="6" fillId="0" borderId="0" xfId="0" applyNumberFormat="1" applyFont="1"/>
    <xf numFmtId="0" fontId="6" fillId="0" borderId="20" xfId="0" applyFont="1" applyBorder="1"/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165" fontId="11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right" wrapText="1"/>
    </xf>
    <xf numFmtId="0" fontId="11" fillId="2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/>
    </xf>
    <xf numFmtId="166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26" fillId="2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26" fillId="0" borderId="12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5" fillId="5" borderId="12" xfId="0" applyFont="1" applyFill="1" applyBorder="1" applyAlignment="1">
      <alignment horizontal="right" vertical="center"/>
    </xf>
    <xf numFmtId="164" fontId="15" fillId="5" borderId="12" xfId="0" applyNumberFormat="1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5" fillId="5" borderId="12" xfId="0" applyFont="1" applyFill="1" applyBorder="1" applyAlignment="1">
      <alignment horizontal="right"/>
    </xf>
    <xf numFmtId="0" fontId="15" fillId="4" borderId="12" xfId="0" applyFont="1" applyFill="1" applyBorder="1" applyAlignment="1">
      <alignment vertical="center"/>
    </xf>
    <xf numFmtId="0" fontId="29" fillId="0" borderId="0" xfId="0" applyFont="1" applyAlignment="1">
      <alignment vertical="top"/>
    </xf>
    <xf numFmtId="0" fontId="29" fillId="0" borderId="18" xfId="0" applyFont="1" applyBorder="1" applyAlignment="1">
      <alignment vertical="top"/>
    </xf>
    <xf numFmtId="0" fontId="26" fillId="5" borderId="12" xfId="0" applyFont="1" applyFill="1" applyBorder="1" applyAlignment="1">
      <alignment horizontal="center" vertical="center"/>
    </xf>
    <xf numFmtId="0" fontId="0" fillId="0" borderId="12" xfId="0" applyBorder="1"/>
    <xf numFmtId="0" fontId="30" fillId="0" borderId="10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35" fillId="0" borderId="0" xfId="0" applyFont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164" fontId="33" fillId="0" borderId="12" xfId="0" applyNumberFormat="1" applyFont="1" applyBorder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0" fontId="34" fillId="4" borderId="28" xfId="0" applyFont="1" applyFill="1" applyBorder="1" applyAlignment="1">
      <alignment horizontal="center"/>
    </xf>
    <xf numFmtId="0" fontId="34" fillId="4" borderId="3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0" fillId="0" borderId="10" xfId="1" applyFont="1" applyBorder="1" applyAlignment="1">
      <alignment horizontal="left" vertical="center" wrapText="1"/>
    </xf>
    <xf numFmtId="0" fontId="32" fillId="0" borderId="24" xfId="0" applyFont="1" applyBorder="1" applyAlignment="1">
      <alignment horizontal="center"/>
    </xf>
    <xf numFmtId="164" fontId="33" fillId="0" borderId="25" xfId="0" applyNumberFormat="1" applyFont="1" applyBorder="1" applyAlignment="1">
      <alignment horizontal="center"/>
    </xf>
    <xf numFmtId="0" fontId="34" fillId="4" borderId="26" xfId="0" applyFont="1" applyFill="1" applyBorder="1" applyAlignment="1">
      <alignment horizontal="center"/>
    </xf>
    <xf numFmtId="0" fontId="31" fillId="0" borderId="12" xfId="0" applyFont="1" applyBorder="1" applyAlignment="1">
      <alignment horizontal="right" vertical="top"/>
    </xf>
    <xf numFmtId="0" fontId="31" fillId="0" borderId="1" xfId="0" applyFont="1" applyBorder="1" applyAlignment="1">
      <alignment horizontal="right" vertical="top"/>
    </xf>
    <xf numFmtId="0" fontId="28" fillId="0" borderId="0" xfId="0" applyFont="1" applyAlignment="1">
      <alignment horizontal="center"/>
    </xf>
    <xf numFmtId="0" fontId="29" fillId="0" borderId="12" xfId="0" applyFont="1" applyBorder="1" applyAlignment="1">
      <alignment horizontal="left" wrapText="1"/>
    </xf>
    <xf numFmtId="0" fontId="31" fillId="0" borderId="1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31" fillId="0" borderId="3" xfId="0" applyFont="1" applyBorder="1" applyAlignment="1">
      <alignment horizontal="center" vertical="top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DC800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11986</xdr:colOff>
      <xdr:row>9</xdr:row>
      <xdr:rowOff>45665</xdr:rowOff>
    </xdr:from>
    <xdr:to>
      <xdr:col>8</xdr:col>
      <xdr:colOff>320638</xdr:colOff>
      <xdr:row>16</xdr:row>
      <xdr:rowOff>293741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8653" y="1757141"/>
          <a:ext cx="3883896" cy="2449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legram.me/hoseinzadehas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hoseinzadeh.net/" TargetMode="External"/><Relationship Id="rId1" Type="http://schemas.openxmlformats.org/officeDocument/2006/relationships/hyperlink" Target="https://www.instagram.com/masoud_hoseinzadeh_as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stagram.com/masoud_hoseinzadeh_asl" TargetMode="External"/><Relationship Id="rId4" Type="http://schemas.openxmlformats.org/officeDocument/2006/relationships/hyperlink" Target="https://telegram.me/hoseinzadeha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1"/>
  <sheetViews>
    <sheetView tabSelected="1" zoomScale="85" zoomScaleNormal="85" workbookViewId="0">
      <selection activeCell="A8" sqref="A8"/>
    </sheetView>
  </sheetViews>
  <sheetFormatPr defaultRowHeight="14.25" x14ac:dyDescent="0.45"/>
  <cols>
    <col min="1" max="1" width="80.73046875" customWidth="1"/>
    <col min="2" max="2" width="16" style="13" bestFit="1" customWidth="1"/>
    <col min="3" max="4" width="12.9296875" style="12" customWidth="1"/>
    <col min="5" max="5" width="6.1328125" customWidth="1"/>
    <col min="6" max="6" width="21.06640625" customWidth="1"/>
    <col min="7" max="7" width="15.53125" customWidth="1"/>
    <col min="8" max="8" width="13.06640625" customWidth="1"/>
    <col min="9" max="9" width="27.59765625" customWidth="1"/>
    <col min="10" max="10" width="27.6640625" customWidth="1"/>
    <col min="11" max="11" width="15.3984375" bestFit="1" customWidth="1"/>
    <col min="12" max="12" width="13.06640625" bestFit="1" customWidth="1"/>
    <col min="13" max="13" width="29.06640625" customWidth="1"/>
    <col min="14" max="14" width="25.86328125" customWidth="1"/>
    <col min="15" max="15" width="15.86328125" bestFit="1" customWidth="1"/>
    <col min="16" max="16" width="14.19921875" customWidth="1"/>
    <col min="17" max="17" width="41.19921875" customWidth="1"/>
    <col min="18" max="18" width="47.86328125" customWidth="1"/>
    <col min="19" max="19" width="34.59765625" customWidth="1"/>
    <col min="20" max="20" width="19.6640625" customWidth="1"/>
    <col min="21" max="21" width="34.06640625" customWidth="1"/>
    <col min="22" max="22" width="50.59765625" bestFit="1" customWidth="1"/>
    <col min="23" max="23" width="17.86328125" customWidth="1"/>
    <col min="24" max="24" width="27.6640625" bestFit="1" customWidth="1"/>
    <col min="25" max="25" width="13.3984375" bestFit="1" customWidth="1"/>
    <col min="26" max="26" width="50.59765625" bestFit="1" customWidth="1"/>
    <col min="27" max="27" width="12.19921875" bestFit="1" customWidth="1"/>
    <col min="28" max="28" width="14.86328125" bestFit="1" customWidth="1"/>
    <col min="29" max="29" width="13.3984375" bestFit="1" customWidth="1"/>
    <col min="30" max="30" width="50.59765625" bestFit="1" customWidth="1"/>
    <col min="31" max="31" width="14.06640625" bestFit="1" customWidth="1"/>
    <col min="32" max="32" width="12.19921875" bestFit="1" customWidth="1"/>
    <col min="33" max="33" width="13.3984375" bestFit="1" customWidth="1"/>
    <col min="34" max="34" width="50.59765625" bestFit="1" customWidth="1"/>
    <col min="35" max="35" width="14.06640625" bestFit="1" customWidth="1"/>
    <col min="36" max="36" width="12.19921875" bestFit="1" customWidth="1"/>
    <col min="37" max="37" width="13.19921875" customWidth="1"/>
  </cols>
  <sheetData>
    <row r="1" spans="1:33" ht="20.85" customHeight="1" x14ac:dyDescent="0.6">
      <c r="A1" s="117" t="s">
        <v>37</v>
      </c>
      <c r="B1" s="117"/>
      <c r="C1" s="117"/>
      <c r="D1" s="89"/>
      <c r="F1" s="123" t="s">
        <v>133</v>
      </c>
      <c r="G1" s="123"/>
      <c r="H1" s="123"/>
      <c r="I1" s="123"/>
    </row>
    <row r="2" spans="1:33" ht="20.25" customHeight="1" x14ac:dyDescent="0.6">
      <c r="A2" s="117" t="s">
        <v>137</v>
      </c>
      <c r="B2" s="117"/>
      <c r="C2" s="117"/>
      <c r="D2" s="89"/>
      <c r="F2" s="124" t="s">
        <v>134</v>
      </c>
      <c r="G2" s="124"/>
      <c r="H2" s="124"/>
      <c r="I2" s="124"/>
    </row>
    <row r="3" spans="1:33" ht="20.100000000000001" customHeight="1" x14ac:dyDescent="0.45">
      <c r="A3" s="117" t="s">
        <v>138</v>
      </c>
      <c r="B3" s="117"/>
      <c r="C3" s="117"/>
      <c r="D3" s="89"/>
      <c r="E3" s="5"/>
      <c r="F3" s="128" t="s">
        <v>135</v>
      </c>
      <c r="G3" s="129"/>
      <c r="H3" s="129"/>
      <c r="I3" s="130"/>
      <c r="M3" s="23"/>
    </row>
    <row r="4" spans="1:33" ht="20.100000000000001" customHeight="1" x14ac:dyDescent="0.45">
      <c r="A4" s="88"/>
      <c r="B4" s="88"/>
      <c r="C4" s="88"/>
      <c r="D4" s="89"/>
      <c r="E4" s="5"/>
      <c r="F4" s="131"/>
      <c r="G4" s="132"/>
      <c r="H4" s="132"/>
      <c r="I4" s="133"/>
      <c r="M4" s="23"/>
    </row>
    <row r="5" spans="1:33" ht="20.100000000000001" customHeight="1" x14ac:dyDescent="0.45">
      <c r="A5" s="88"/>
      <c r="B5" s="88"/>
      <c r="C5" s="88"/>
      <c r="D5" s="89"/>
      <c r="E5" s="5"/>
      <c r="F5" s="125" t="s">
        <v>139</v>
      </c>
      <c r="G5" s="126"/>
      <c r="H5" s="126"/>
      <c r="I5" s="127"/>
      <c r="M5" s="23"/>
    </row>
    <row r="6" spans="1:33" ht="20.100000000000001" customHeight="1" thickBot="1" x14ac:dyDescent="0.5">
      <c r="A6" s="88"/>
      <c r="B6" s="88"/>
      <c r="C6" s="88"/>
      <c r="D6" s="89"/>
      <c r="E6" s="5"/>
      <c r="F6" s="121" t="s">
        <v>136</v>
      </c>
      <c r="G6" s="121"/>
      <c r="H6" s="121"/>
      <c r="I6" s="122"/>
      <c r="M6" s="23"/>
    </row>
    <row r="7" spans="1:33" ht="24.75" customHeight="1" thickBot="1" x14ac:dyDescent="0.5">
      <c r="A7" s="59" t="s">
        <v>2</v>
      </c>
      <c r="B7" s="65">
        <v>25</v>
      </c>
      <c r="C7" s="62" t="s">
        <v>15</v>
      </c>
      <c r="D7" s="90"/>
      <c r="E7" s="1"/>
      <c r="J7" s="116" t="s">
        <v>52</v>
      </c>
      <c r="K7" s="116"/>
      <c r="L7" s="116"/>
      <c r="M7" s="116"/>
      <c r="N7" s="114" t="s">
        <v>61</v>
      </c>
      <c r="O7" s="114"/>
      <c r="P7" s="114"/>
      <c r="Q7" s="115"/>
      <c r="R7" s="113" t="s">
        <v>84</v>
      </c>
      <c r="S7" s="114"/>
      <c r="T7" s="114"/>
      <c r="U7" s="115"/>
      <c r="V7" s="113" t="s">
        <v>99</v>
      </c>
      <c r="W7" s="114"/>
      <c r="X7" s="114"/>
      <c r="Y7" s="115"/>
      <c r="Z7" s="113" t="s">
        <v>85</v>
      </c>
      <c r="AA7" s="114"/>
      <c r="AB7" s="114"/>
      <c r="AC7" s="115"/>
      <c r="AD7" s="113" t="s">
        <v>93</v>
      </c>
      <c r="AE7" s="114"/>
      <c r="AF7" s="114"/>
      <c r="AG7" s="115"/>
    </row>
    <row r="8" spans="1:33" ht="24.75" customHeight="1" x14ac:dyDescent="0.7">
      <c r="A8" s="59" t="s">
        <v>38</v>
      </c>
      <c r="B8" s="65">
        <v>400</v>
      </c>
      <c r="C8" s="62" t="s">
        <v>15</v>
      </c>
      <c r="D8" s="90"/>
      <c r="E8" s="1"/>
      <c r="J8" s="87" t="s">
        <v>56</v>
      </c>
      <c r="K8" s="87">
        <f>4700*B7^0.5</f>
        <v>23500</v>
      </c>
      <c r="L8" s="87"/>
      <c r="M8" s="87"/>
      <c r="N8" s="27" t="s">
        <v>56</v>
      </c>
      <c r="O8" s="27">
        <f>K8</f>
        <v>23500</v>
      </c>
      <c r="P8" s="27"/>
      <c r="Q8" s="28"/>
      <c r="R8" s="34" t="s">
        <v>92</v>
      </c>
      <c r="S8">
        <f>B72</f>
        <v>5.62E-4</v>
      </c>
      <c r="U8" s="30"/>
      <c r="V8" s="34" t="s">
        <v>92</v>
      </c>
      <c r="W8">
        <f>B72</f>
        <v>5.62E-4</v>
      </c>
      <c r="Y8" s="30"/>
      <c r="Z8" s="34" t="s">
        <v>92</v>
      </c>
      <c r="AA8">
        <f>B74</f>
        <v>7.7999999999999999E-4</v>
      </c>
      <c r="AC8" s="30"/>
      <c r="AD8" s="34" t="s">
        <v>92</v>
      </c>
      <c r="AE8">
        <f>AA8</f>
        <v>7.7999999999999999E-4</v>
      </c>
      <c r="AG8" s="30"/>
    </row>
    <row r="9" spans="1:33" ht="24.75" customHeight="1" x14ac:dyDescent="0.65">
      <c r="A9" s="59" t="s">
        <v>39</v>
      </c>
      <c r="B9" s="65">
        <v>300</v>
      </c>
      <c r="C9" s="62" t="s">
        <v>15</v>
      </c>
      <c r="D9" s="90"/>
      <c r="E9" s="1"/>
      <c r="J9" s="87" t="s">
        <v>57</v>
      </c>
      <c r="K9" s="87">
        <f>200000/K8</f>
        <v>8.5106382978723403</v>
      </c>
      <c r="L9" s="87"/>
      <c r="M9" s="87"/>
      <c r="N9" t="s">
        <v>57</v>
      </c>
      <c r="O9">
        <f>K9</f>
        <v>8.5106382978723403</v>
      </c>
      <c r="Q9" s="30"/>
      <c r="R9" s="34" t="s">
        <v>78</v>
      </c>
      <c r="S9">
        <f>B73</f>
        <v>1.4</v>
      </c>
      <c r="U9" s="30"/>
      <c r="V9" s="34" t="s">
        <v>78</v>
      </c>
      <c r="W9">
        <f>S9</f>
        <v>1.4</v>
      </c>
      <c r="Y9" s="30"/>
      <c r="Z9" s="34" t="s">
        <v>78</v>
      </c>
      <c r="AA9">
        <f>B75</f>
        <v>2.35</v>
      </c>
      <c r="AC9" s="30"/>
      <c r="AD9" s="34" t="s">
        <v>78</v>
      </c>
      <c r="AE9">
        <f>AA9</f>
        <v>2.35</v>
      </c>
      <c r="AG9" s="30"/>
    </row>
    <row r="10" spans="1:33" ht="24.75" customHeight="1" x14ac:dyDescent="0.65">
      <c r="A10" s="59" t="s">
        <v>147</v>
      </c>
      <c r="B10" s="65">
        <v>6</v>
      </c>
      <c r="C10" s="62" t="s">
        <v>1</v>
      </c>
      <c r="D10" s="90"/>
      <c r="E10" s="1"/>
      <c r="J10" s="87" t="s">
        <v>59</v>
      </c>
      <c r="K10" s="87">
        <f>E16*B11</f>
        <v>30000</v>
      </c>
      <c r="L10" s="87">
        <f>B11/2</f>
        <v>150</v>
      </c>
      <c r="M10" s="87">
        <f>E16*B11^3/12</f>
        <v>225000000</v>
      </c>
      <c r="N10" t="s">
        <v>63</v>
      </c>
      <c r="O10">
        <f>O9*B44</f>
        <v>2620.221957887657</v>
      </c>
      <c r="Q10" s="30"/>
      <c r="R10" s="36" t="s">
        <v>79</v>
      </c>
      <c r="S10">
        <f>B76</f>
        <v>0.8</v>
      </c>
      <c r="U10" s="30"/>
      <c r="V10" s="36" t="s">
        <v>79</v>
      </c>
      <c r="W10">
        <f>S10</f>
        <v>0.8</v>
      </c>
      <c r="Y10" s="30"/>
      <c r="Z10" s="36" t="s">
        <v>79</v>
      </c>
      <c r="AA10">
        <f>W10</f>
        <v>0.8</v>
      </c>
      <c r="AC10" s="30"/>
      <c r="AD10" s="36" t="s">
        <v>79</v>
      </c>
      <c r="AE10">
        <f>AA10</f>
        <v>0.8</v>
      </c>
      <c r="AG10" s="30"/>
    </row>
    <row r="11" spans="1:33" ht="24.75" customHeight="1" x14ac:dyDescent="0.65">
      <c r="A11" s="59" t="s">
        <v>17</v>
      </c>
      <c r="B11" s="65">
        <v>300</v>
      </c>
      <c r="C11" s="62" t="s">
        <v>3</v>
      </c>
      <c r="D11" s="90"/>
      <c r="E11" s="1"/>
      <c r="G11" s="84"/>
      <c r="H11" s="84"/>
      <c r="I11" s="85"/>
      <c r="J11" s="29" t="s">
        <v>53</v>
      </c>
      <c r="K11">
        <f>(F16-E16)*B14</f>
        <v>25000</v>
      </c>
      <c r="L11">
        <f>B14/2</f>
        <v>25</v>
      </c>
      <c r="M11" s="30">
        <f>(F16-E16)*B14^3/12</f>
        <v>5208333.333333333</v>
      </c>
      <c r="N11" s="29" t="s">
        <v>55</v>
      </c>
      <c r="O11">
        <f>(O9-1)*B39</f>
        <v>1226.9590372190264</v>
      </c>
      <c r="Q11" s="30"/>
      <c r="R11" s="37" t="s">
        <v>82</v>
      </c>
      <c r="S11">
        <f>K8</f>
        <v>23500</v>
      </c>
      <c r="U11" s="30"/>
      <c r="V11" s="37" t="s">
        <v>82</v>
      </c>
      <c r="W11">
        <f>S11</f>
        <v>23500</v>
      </c>
      <c r="Y11" s="30"/>
      <c r="Z11" s="37" t="s">
        <v>82</v>
      </c>
      <c r="AA11">
        <f>K8</f>
        <v>23500</v>
      </c>
      <c r="AC11" s="30"/>
      <c r="AD11" s="37" t="s">
        <v>82</v>
      </c>
      <c r="AE11">
        <f>O8</f>
        <v>23500</v>
      </c>
      <c r="AG11" s="30"/>
    </row>
    <row r="12" spans="1:33" ht="24.75" customHeight="1" x14ac:dyDescent="0.65">
      <c r="A12" s="59" t="s">
        <v>21</v>
      </c>
      <c r="B12" s="66">
        <f>B11-B13</f>
        <v>270</v>
      </c>
      <c r="C12" s="62" t="s">
        <v>3</v>
      </c>
      <c r="D12" s="90"/>
      <c r="E12" s="3"/>
      <c r="F12" s="84"/>
      <c r="G12" s="84"/>
      <c r="H12" s="84"/>
      <c r="I12" s="85"/>
      <c r="J12" s="29" t="s">
        <v>54</v>
      </c>
      <c r="K12">
        <f>(K9-1)*B44</f>
        <v>2312.3458778358572</v>
      </c>
      <c r="L12">
        <f>B12</f>
        <v>270</v>
      </c>
      <c r="M12" s="30">
        <v>0</v>
      </c>
      <c r="N12" s="29" t="s">
        <v>62</v>
      </c>
      <c r="O12">
        <f>$F$16/O10</f>
        <v>0.22898823444854333</v>
      </c>
      <c r="P12" t="s">
        <v>24</v>
      </c>
      <c r="Q12" s="30">
        <f>$E$16/O10</f>
        <v>3.8164705741423888E-2</v>
      </c>
      <c r="R12" s="37" t="s">
        <v>80</v>
      </c>
      <c r="S12">
        <f>S11/(1+S9*S10)</f>
        <v>11084.905660377359</v>
      </c>
      <c r="U12" s="30"/>
      <c r="V12" s="37" t="s">
        <v>80</v>
      </c>
      <c r="W12">
        <f>S12</f>
        <v>11084.905660377359</v>
      </c>
      <c r="Y12" s="30"/>
      <c r="Z12" s="37" t="s">
        <v>80</v>
      </c>
      <c r="AA12">
        <f>AA11/(1+AA9*AA10)</f>
        <v>8159.7222222222226</v>
      </c>
      <c r="AC12" s="30"/>
      <c r="AD12" s="37" t="s">
        <v>80</v>
      </c>
      <c r="AE12">
        <f>AE11/(1+AE9*AE10)</f>
        <v>8159.7222222222226</v>
      </c>
      <c r="AG12" s="30"/>
    </row>
    <row r="13" spans="1:33" ht="24.75" customHeight="1" x14ac:dyDescent="0.65">
      <c r="A13" s="59" t="s">
        <v>27</v>
      </c>
      <c r="B13" s="66">
        <v>30</v>
      </c>
      <c r="C13" s="62" t="s">
        <v>3</v>
      </c>
      <c r="D13" s="90"/>
      <c r="E13" s="3"/>
      <c r="F13" s="3"/>
      <c r="J13" s="29" t="s">
        <v>55</v>
      </c>
      <c r="K13">
        <f>(K9-1)*B39</f>
        <v>1226.9590372190264</v>
      </c>
      <c r="L13">
        <f>B13</f>
        <v>30</v>
      </c>
      <c r="M13" s="30">
        <v>0</v>
      </c>
      <c r="N13" s="29" t="s">
        <v>26</v>
      </c>
      <c r="O13">
        <f>O11/O10</f>
        <v>0.46826530612244899</v>
      </c>
      <c r="P13" t="s">
        <v>25</v>
      </c>
      <c r="Q13" s="30">
        <f>$B$14*($F$16-$E$16)/O10</f>
        <v>9.5411764353559718</v>
      </c>
      <c r="R13" s="37" t="s">
        <v>81</v>
      </c>
      <c r="S13">
        <f>200000/S12</f>
        <v>18.042553191489361</v>
      </c>
      <c r="U13" s="30"/>
      <c r="V13" s="37" t="s">
        <v>81</v>
      </c>
      <c r="W13">
        <f>200000/W12</f>
        <v>18.042553191489361</v>
      </c>
      <c r="Y13" s="30"/>
      <c r="Z13" s="37" t="s">
        <v>81</v>
      </c>
      <c r="AA13">
        <f>200000/AA12</f>
        <v>24.51063829787234</v>
      </c>
      <c r="AC13" s="30"/>
      <c r="AD13" s="37" t="s">
        <v>81</v>
      </c>
      <c r="AE13">
        <f>200000/AE12</f>
        <v>24.51063829787234</v>
      </c>
      <c r="AG13" s="30"/>
    </row>
    <row r="14" spans="1:33" ht="24.75" customHeight="1" x14ac:dyDescent="0.45">
      <c r="A14" s="59" t="s">
        <v>41</v>
      </c>
      <c r="B14" s="65">
        <v>50</v>
      </c>
      <c r="C14" s="62" t="s">
        <v>3</v>
      </c>
      <c r="D14" s="90"/>
      <c r="E14" s="1"/>
      <c r="F14" s="3"/>
      <c r="J14" s="29" t="s">
        <v>60</v>
      </c>
      <c r="K14">
        <f>(K10*L10+K11*L11+K12*L12+K13*L13)/SUM(K10:K13)</f>
        <v>98.842003104211742</v>
      </c>
      <c r="M14" s="30"/>
      <c r="N14" s="29" t="s">
        <v>60</v>
      </c>
      <c r="O14">
        <f>((2*$B$12*O12*(1+O13*$B$13/$B$12)+(1+O13)^2)^0.5-(1+O13))/O12</f>
        <v>43.807639435376018</v>
      </c>
      <c r="P14" t="s">
        <v>64</v>
      </c>
      <c r="Q14" s="30">
        <f>((Q12*(2*$B$12+$B$14*Q13+2*O13*$B$13)+(Q13+O13+1)^2)^0.5-(Q13+O13+1))/Q12</f>
        <v>44.09601641126963</v>
      </c>
      <c r="R14" s="29" t="s">
        <v>59</v>
      </c>
      <c r="S14">
        <f t="shared" ref="S14:U15" si="0">K10</f>
        <v>30000</v>
      </c>
      <c r="T14">
        <f t="shared" si="0"/>
        <v>150</v>
      </c>
      <c r="U14" s="30">
        <f t="shared" si="0"/>
        <v>225000000</v>
      </c>
      <c r="V14" s="29" t="s">
        <v>59</v>
      </c>
      <c r="W14">
        <f t="shared" ref="W14:Y15" si="1">S14</f>
        <v>30000</v>
      </c>
      <c r="X14">
        <f t="shared" si="1"/>
        <v>150</v>
      </c>
      <c r="Y14" s="30">
        <f t="shared" si="1"/>
        <v>225000000</v>
      </c>
      <c r="Z14" s="29" t="s">
        <v>59</v>
      </c>
      <c r="AA14">
        <f t="shared" ref="AA14:AC15" si="2">K10</f>
        <v>30000</v>
      </c>
      <c r="AB14">
        <f t="shared" si="2"/>
        <v>150</v>
      </c>
      <c r="AC14" s="30">
        <f t="shared" si="2"/>
        <v>225000000</v>
      </c>
      <c r="AD14" s="29" t="s">
        <v>59</v>
      </c>
      <c r="AE14">
        <f t="shared" ref="AE14:AG15" si="3">AA14</f>
        <v>30000</v>
      </c>
      <c r="AF14">
        <f t="shared" si="3"/>
        <v>150</v>
      </c>
      <c r="AG14" s="30">
        <f t="shared" si="3"/>
        <v>225000000</v>
      </c>
    </row>
    <row r="15" spans="1:33" ht="24.75" customHeight="1" thickBot="1" x14ac:dyDescent="0.5">
      <c r="A15" s="59" t="s">
        <v>40</v>
      </c>
      <c r="B15" s="65">
        <v>500</v>
      </c>
      <c r="C15" s="62" t="s">
        <v>3</v>
      </c>
      <c r="D15" s="90"/>
      <c r="E15" s="2"/>
      <c r="F15" s="2"/>
      <c r="G15" s="2"/>
      <c r="J15" s="31" t="s">
        <v>58</v>
      </c>
      <c r="K15" s="32">
        <f>M10+K10*(K14-L10)^2+M11+K11*(K14-L11)^2+K12*(K14-L12)^2+K13*(K14-L13)^2</f>
        <v>518593729.80554587</v>
      </c>
      <c r="L15" s="32"/>
      <c r="M15" s="33"/>
      <c r="N15" s="29" t="s">
        <v>58</v>
      </c>
      <c r="O15">
        <f>$F$16*O14^3/3+O10*($B$12-O14)^2+O11*(O14-$B$13)^2</f>
        <v>151106624.31555939</v>
      </c>
      <c r="P15" t="s">
        <v>58</v>
      </c>
      <c r="Q15" s="30">
        <f>($F$16-$E$16)*$B$14^3/12+$E$16*Q14^3/3+($F$16-$E$16)*$B$14*(Q14-$B$14/2)^2+O10*($B$12-Q14)^2+O11*(Q14-$B$13)^2</f>
        <v>151143434.12256256</v>
      </c>
      <c r="R15" s="29" t="s">
        <v>53</v>
      </c>
      <c r="S15">
        <f t="shared" si="0"/>
        <v>25000</v>
      </c>
      <c r="T15">
        <f t="shared" si="0"/>
        <v>25</v>
      </c>
      <c r="U15" s="30">
        <f t="shared" si="0"/>
        <v>5208333.333333333</v>
      </c>
      <c r="V15" s="29" t="s">
        <v>53</v>
      </c>
      <c r="W15">
        <f t="shared" si="1"/>
        <v>25000</v>
      </c>
      <c r="X15">
        <f t="shared" si="1"/>
        <v>25</v>
      </c>
      <c r="Y15" s="30">
        <f t="shared" si="1"/>
        <v>5208333.333333333</v>
      </c>
      <c r="Z15" s="29" t="s">
        <v>53</v>
      </c>
      <c r="AA15">
        <f t="shared" si="2"/>
        <v>25000</v>
      </c>
      <c r="AB15">
        <f t="shared" si="2"/>
        <v>25</v>
      </c>
      <c r="AC15" s="30">
        <f t="shared" si="2"/>
        <v>5208333.333333333</v>
      </c>
      <c r="AD15" s="29" t="s">
        <v>53</v>
      </c>
      <c r="AE15">
        <f t="shared" si="3"/>
        <v>25000</v>
      </c>
      <c r="AF15">
        <f t="shared" si="3"/>
        <v>25</v>
      </c>
      <c r="AG15" s="30">
        <f t="shared" si="3"/>
        <v>5208333.333333333</v>
      </c>
    </row>
    <row r="16" spans="1:33" ht="24.75" customHeight="1" x14ac:dyDescent="0.65">
      <c r="A16" s="59" t="s">
        <v>47</v>
      </c>
      <c r="B16" s="65">
        <v>100</v>
      </c>
      <c r="C16" s="62" t="s">
        <v>3</v>
      </c>
      <c r="D16" s="90"/>
      <c r="E16" s="49">
        <f>E17*B16</f>
        <v>100</v>
      </c>
      <c r="F16" s="49">
        <f>B15+E16</f>
        <v>600</v>
      </c>
      <c r="G16" s="2"/>
      <c r="J16" s="29" t="s">
        <v>67</v>
      </c>
      <c r="K16">
        <f>0.62*B7^0.5</f>
        <v>3.1</v>
      </c>
      <c r="M16" s="30"/>
      <c r="N16" s="29"/>
      <c r="O16" t="s">
        <v>66</v>
      </c>
      <c r="P16">
        <f>IF(O14&lt;B14,O14,Q14)</f>
        <v>43.807639435376018</v>
      </c>
      <c r="Q16" s="30"/>
      <c r="R16" s="37" t="s">
        <v>54</v>
      </c>
      <c r="S16">
        <f>(S13-1)*B44</f>
        <v>5246.9944706700335</v>
      </c>
      <c r="T16">
        <f>L12</f>
        <v>270</v>
      </c>
      <c r="U16" s="30">
        <f>M12</f>
        <v>0</v>
      </c>
      <c r="V16" s="37" t="s">
        <v>83</v>
      </c>
      <c r="W16">
        <f>W13*B44</f>
        <v>5554.8705507218328</v>
      </c>
      <c r="X16">
        <f>T16</f>
        <v>270</v>
      </c>
      <c r="Y16" s="30">
        <f>U16</f>
        <v>0</v>
      </c>
      <c r="Z16" s="37" t="s">
        <v>54</v>
      </c>
      <c r="AA16">
        <f>(AA13-1)*B44</f>
        <v>7238.3631586646525</v>
      </c>
      <c r="AB16">
        <f>L12</f>
        <v>270</v>
      </c>
      <c r="AC16" s="30">
        <f>M12</f>
        <v>0</v>
      </c>
      <c r="AD16" s="37" t="s">
        <v>83</v>
      </c>
      <c r="AE16">
        <f>AE13*B44</f>
        <v>7546.2392387164518</v>
      </c>
      <c r="AF16">
        <f>AB16</f>
        <v>270</v>
      </c>
      <c r="AG16" s="30">
        <f>AC16</f>
        <v>0</v>
      </c>
    </row>
    <row r="17" spans="1:33" ht="24.75" customHeight="1" thickBot="1" x14ac:dyDescent="0.7">
      <c r="A17" s="59" t="s">
        <v>42</v>
      </c>
      <c r="B17" s="65" t="s">
        <v>142</v>
      </c>
      <c r="C17" s="60"/>
      <c r="E17" s="49">
        <f>IF(B17="s",1,2)</f>
        <v>1</v>
      </c>
      <c r="F17" s="2"/>
      <c r="G17" s="2"/>
      <c r="J17" s="31" t="s">
        <v>68</v>
      </c>
      <c r="K17" s="32">
        <f>K16*K15/(B11-K14)/10^6</f>
        <v>7.9919296632787873</v>
      </c>
      <c r="L17" s="32" t="s">
        <v>7</v>
      </c>
      <c r="M17" s="33"/>
      <c r="N17" s="31"/>
      <c r="O17" s="32" t="s">
        <v>65</v>
      </c>
      <c r="P17" s="32">
        <f>IF(O14&lt;B14,O15,Q15)</f>
        <v>151106624.31555939</v>
      </c>
      <c r="Q17" s="33"/>
      <c r="R17" s="37" t="s">
        <v>55</v>
      </c>
      <c r="S17">
        <f>(S13-1)*B39</f>
        <v>2784.1195150494059</v>
      </c>
      <c r="T17">
        <f>L13</f>
        <v>30</v>
      </c>
      <c r="U17" s="30">
        <f>M13</f>
        <v>0</v>
      </c>
      <c r="V17" s="37" t="s">
        <v>55</v>
      </c>
      <c r="W17">
        <f>S17</f>
        <v>2784.1195150494059</v>
      </c>
      <c r="X17">
        <f>T17</f>
        <v>30</v>
      </c>
      <c r="Y17" s="30">
        <f>U17</f>
        <v>0</v>
      </c>
      <c r="Z17" s="37" t="s">
        <v>55</v>
      </c>
      <c r="AA17">
        <f>(AA13-1)*B39</f>
        <v>3840.7641250057345</v>
      </c>
      <c r="AB17">
        <f>L13</f>
        <v>30</v>
      </c>
      <c r="AC17" s="30">
        <f>M13</f>
        <v>0</v>
      </c>
      <c r="AD17" s="37" t="s">
        <v>55</v>
      </c>
      <c r="AE17">
        <f>AA17</f>
        <v>3840.7641250057345</v>
      </c>
      <c r="AF17">
        <f>AB17</f>
        <v>30</v>
      </c>
      <c r="AG17" s="30">
        <f>AC17</f>
        <v>0</v>
      </c>
    </row>
    <row r="18" spans="1:33" ht="24.75" customHeight="1" x14ac:dyDescent="0.65">
      <c r="A18" s="59" t="s">
        <v>18</v>
      </c>
      <c r="B18" s="65">
        <v>2</v>
      </c>
      <c r="C18" s="62" t="s">
        <v>0</v>
      </c>
      <c r="D18" s="90"/>
      <c r="E18" s="2"/>
      <c r="F18" s="2"/>
      <c r="G18" s="2"/>
      <c r="J18" s="26" t="s">
        <v>69</v>
      </c>
      <c r="K18" s="27">
        <f>F16/1000*B23*B$10^2/8</f>
        <v>6.0699375000000009</v>
      </c>
      <c r="L18" s="27" t="s">
        <v>7</v>
      </c>
      <c r="M18" s="28"/>
      <c r="R18" s="37" t="s">
        <v>60</v>
      </c>
      <c r="S18" s="3">
        <f>(S14*T14+S15*T15+S16*T16+S17*T17)/SUM(S14:S17)</f>
        <v>105.11018564630515</v>
      </c>
      <c r="U18" s="30"/>
      <c r="V18" s="29" t="s">
        <v>62</v>
      </c>
      <c r="W18">
        <f>$F$16/W16</f>
        <v>0.10801331813610533</v>
      </c>
      <c r="X18" t="s">
        <v>24</v>
      </c>
      <c r="Y18" s="30">
        <f>$E$16/W16</f>
        <v>1.8002219689350889E-2</v>
      </c>
      <c r="Z18" s="37" t="s">
        <v>60</v>
      </c>
      <c r="AA18">
        <f>(AA14*AB14+AA15*AB15+AA16*AB16+AA17*AB17)/SUM(AA14:AA17)</f>
        <v>108.87826871114819</v>
      </c>
      <c r="AC18" s="30"/>
      <c r="AD18" s="29" t="s">
        <v>62</v>
      </c>
      <c r="AE18">
        <f>$F$16/AE16</f>
        <v>7.9509803627966433E-2</v>
      </c>
      <c r="AF18" t="s">
        <v>24</v>
      </c>
      <c r="AG18" s="30">
        <f>$E$16/AE16</f>
        <v>1.3251633937994405E-2</v>
      </c>
    </row>
    <row r="19" spans="1:33" ht="24.75" customHeight="1" x14ac:dyDescent="0.65">
      <c r="A19" s="67" t="s">
        <v>120</v>
      </c>
      <c r="B19" s="65">
        <v>0</v>
      </c>
      <c r="C19" s="60" t="s">
        <v>0</v>
      </c>
      <c r="E19" s="2"/>
      <c r="F19" s="2"/>
      <c r="G19" s="2"/>
      <c r="J19" s="29" t="s">
        <v>121</v>
      </c>
      <c r="K19">
        <f>F16/1000*(B19+B20)*B10^2/8</f>
        <v>8.1</v>
      </c>
      <c r="M19" s="30"/>
      <c r="R19" s="37" t="s">
        <v>58</v>
      </c>
      <c r="S19" s="3">
        <f>U14+S14*(S18-T14)^2+U15+S15*(S18-T15)^2+S16*(S18-T16)^2+S17*(S18-T17)^2</f>
        <v>609467664.8164978</v>
      </c>
      <c r="U19" s="30"/>
      <c r="V19" s="29" t="s">
        <v>26</v>
      </c>
      <c r="W19">
        <f>W17/W16</f>
        <v>0.50120331151328468</v>
      </c>
      <c r="X19" t="s">
        <v>25</v>
      </c>
      <c r="Y19" s="30">
        <f>$B$14*($F$16-$E$16)/W16</f>
        <v>4.5005549223377228</v>
      </c>
      <c r="Z19" s="37" t="s">
        <v>58</v>
      </c>
      <c r="AA19" s="3">
        <f>AC14+AA14*(AA18-AB14)^2+AC15+AA15*(AA18-AB15)^2+AA16*(AA18-AB16)^2+AA17*(AA18-AB17)^2</f>
        <v>668633174.47925115</v>
      </c>
      <c r="AC19" s="30"/>
      <c r="AD19" s="29" t="s">
        <v>26</v>
      </c>
      <c r="AE19">
        <f>AE17/AE16</f>
        <v>0.50896400226757377</v>
      </c>
      <c r="AF19" t="s">
        <v>25</v>
      </c>
      <c r="AG19" s="30">
        <f>$B$14*($F$16-$E$16)/AE16</f>
        <v>3.3129084844986014</v>
      </c>
    </row>
    <row r="20" spans="1:33" ht="24.75" customHeight="1" thickBot="1" x14ac:dyDescent="0.7">
      <c r="A20" s="67" t="s">
        <v>140</v>
      </c>
      <c r="B20" s="65">
        <v>3</v>
      </c>
      <c r="C20" s="62" t="s">
        <v>0</v>
      </c>
      <c r="D20" s="90"/>
      <c r="J20" s="31" t="s">
        <v>71</v>
      </c>
      <c r="K20" s="32">
        <f>F16/1000*B18*B10^2/8</f>
        <v>5.3999999999999995</v>
      </c>
      <c r="L20" s="32"/>
      <c r="M20" s="33"/>
      <c r="R20" s="37" t="s">
        <v>86</v>
      </c>
      <c r="S20" s="3">
        <f>(S14*T14+S15*T15-B44*T16-B39*T17)/(S14+S15-B44-B39)</f>
        <v>92.372767546065191</v>
      </c>
      <c r="T20" s="4"/>
      <c r="U20" s="38"/>
      <c r="V20" s="29" t="s">
        <v>60</v>
      </c>
      <c r="W20">
        <f>((2*$B$12*W18*(1+W19*$B$13/$B$12)+(1+W19)^2)^0.5-(1+W19))/W18</f>
        <v>60.067612247614299</v>
      </c>
      <c r="X20" t="s">
        <v>64</v>
      </c>
      <c r="Y20" s="30">
        <f>((Y18*(2*$B$12+$B$14*Y19+2*W19*$B$13)+(Y19+W19+1)^2)^0.5-(Y19+W19+1))/Y18</f>
        <v>60.711099776804218</v>
      </c>
      <c r="Z20" s="37" t="s">
        <v>86</v>
      </c>
      <c r="AA20" s="3">
        <f>(AA14*AB14+AA15*AB15-B44*AB16-B39*AB17)/(AA14+AA15-B44-B39)</f>
        <v>92.372767546065191</v>
      </c>
      <c r="AB20" s="4"/>
      <c r="AC20" s="38"/>
      <c r="AD20" s="29" t="s">
        <v>60</v>
      </c>
      <c r="AE20">
        <f>((2*$B$12*AE18*(1+AE19*$B$13/$B$12)+(1+AE19)^2)^0.5-(1+AE19))/AE18</f>
        <v>67.831044633031524</v>
      </c>
      <c r="AF20" t="s">
        <v>64</v>
      </c>
      <c r="AG20" s="30">
        <f>((AG18*(2*$B$12+$B$14*AG19+2*AE19*$B$13)+(AG19+AE19+1)^2)^0.5-(AG19+AE19+1))/AG18</f>
        <v>69.668374976392499</v>
      </c>
    </row>
    <row r="21" spans="1:33" ht="24.75" customHeight="1" thickBot="1" x14ac:dyDescent="0.7">
      <c r="A21" s="67" t="s">
        <v>126</v>
      </c>
      <c r="B21" s="65">
        <v>0</v>
      </c>
      <c r="C21" s="62" t="s">
        <v>12</v>
      </c>
      <c r="D21" s="90"/>
      <c r="R21" s="37" t="s">
        <v>88</v>
      </c>
      <c r="S21" s="3">
        <f>U14+S14*(S18-T14)^2+U15+S15*(S18-T15)^2-B44*(T16-S18)^2-B39*(T17-S18)^2</f>
        <v>441809889.29745954</v>
      </c>
      <c r="U21" s="30"/>
      <c r="V21" s="29" t="s">
        <v>58</v>
      </c>
      <c r="W21" s="3">
        <f>$F$16*W20^3/3+W16*($B$12-W20)^2+W17*(W20-$B$13)^2</f>
        <v>290675296.03477401</v>
      </c>
      <c r="X21" t="s">
        <v>58</v>
      </c>
      <c r="Y21" s="30">
        <f>($F$16-$E$16)*$B$14^3/12+$E$16*Y20^3/3+($F$16-$E$16)*$B$14*(Y20-$B$14/2)^2+W16*($B$12-Y20)^2+W17*(Y20-$B$13)^2</f>
        <v>290488915.94441849</v>
      </c>
      <c r="Z21" s="37" t="s">
        <v>88</v>
      </c>
      <c r="AA21" s="3">
        <f>AC14+AA14*(AA18-AB14)^2+AC15+AA15*(AA18-AB15)^2-B44*(AB16-AA18)^2-B39*(AB17-AA18)^2</f>
        <v>447818399.78839916</v>
      </c>
      <c r="AC21" s="30"/>
      <c r="AD21" s="29" t="s">
        <v>58</v>
      </c>
      <c r="AE21">
        <f>$F$16*AE20^3/3+AE16*($B$12-AE20)^2+AE17*(AE20-$B$13)^2</f>
        <v>376347721.4964729</v>
      </c>
      <c r="AF21" t="s">
        <v>58</v>
      </c>
      <c r="AG21" s="30">
        <f>($F$16-$E$16)*$B$14^3/12+$E$16*AG20^3/3+($F$16-$E$16)*$B$14*(AG20-$B$14/2)^2+AE16*($B$12-AG20)^2+AE17*(AG20-$B$13)^2</f>
        <v>375256689.75422591</v>
      </c>
    </row>
    <row r="22" spans="1:33" ht="24.75" customHeight="1" x14ac:dyDescent="0.65">
      <c r="A22" s="67" t="s">
        <v>127</v>
      </c>
      <c r="B22" s="65">
        <v>120</v>
      </c>
      <c r="C22" s="62" t="s">
        <v>3</v>
      </c>
      <c r="D22" s="90"/>
      <c r="F22" s="118" t="s">
        <v>107</v>
      </c>
      <c r="G22" s="119">
        <f>B48</f>
        <v>0.87253071618715072</v>
      </c>
      <c r="H22" s="120" t="str">
        <f>IF(G22&lt;1, "OK","N.G.")</f>
        <v>OK</v>
      </c>
      <c r="R22" s="37" t="s">
        <v>87</v>
      </c>
      <c r="S22" s="3">
        <f>S20-S18</f>
        <v>-12.737418100239964</v>
      </c>
      <c r="T22" s="4"/>
      <c r="U22" s="38"/>
      <c r="V22" s="37" t="s">
        <v>60</v>
      </c>
      <c r="W22" s="3">
        <f>IF(W20&lt;$B$14,W20,Y20)</f>
        <v>60.711099776804218</v>
      </c>
      <c r="Y22" s="30"/>
      <c r="Z22" s="37" t="s">
        <v>87</v>
      </c>
      <c r="AA22" s="3">
        <f>AA20-AA18</f>
        <v>-16.505501165083004</v>
      </c>
      <c r="AB22" s="4"/>
      <c r="AC22" s="38"/>
      <c r="AD22" s="37" t="s">
        <v>60</v>
      </c>
      <c r="AE22">
        <f>IF(AE20&lt;$B$14,AE20,AG20)</f>
        <v>69.668374976392499</v>
      </c>
      <c r="AG22" s="30"/>
    </row>
    <row r="23" spans="1:33" ht="24.75" customHeight="1" x14ac:dyDescent="0.65">
      <c r="A23" s="67" t="s">
        <v>28</v>
      </c>
      <c r="B23" s="68">
        <f>((1000/(E16+B15))*(B11*E16+B14*B15)/10^6*2.5*9.81)</f>
        <v>2.2481250000000004</v>
      </c>
      <c r="C23" s="62" t="s">
        <v>0</v>
      </c>
      <c r="D23" s="90"/>
      <c r="F23" s="104"/>
      <c r="G23" s="106"/>
      <c r="H23" s="108"/>
      <c r="R23" s="37" t="s">
        <v>89</v>
      </c>
      <c r="S23" s="51">
        <f>S14+S15-B44-B39</f>
        <v>54528.761101961529</v>
      </c>
      <c r="T23" s="4"/>
      <c r="U23" s="38"/>
      <c r="V23" s="37" t="s">
        <v>58</v>
      </c>
      <c r="W23" s="3">
        <f>IF(W20&lt;$B$14,W21,Y21)</f>
        <v>290488915.94441849</v>
      </c>
      <c r="Y23" s="30"/>
      <c r="Z23" s="37" t="s">
        <v>89</v>
      </c>
      <c r="AA23" s="51">
        <f>AA14+AA15-B44-B39</f>
        <v>54528.761101961529</v>
      </c>
      <c r="AB23" s="4"/>
      <c r="AC23" s="38"/>
      <c r="AD23" s="37" t="s">
        <v>58</v>
      </c>
      <c r="AE23" s="3">
        <f>IF(AE20&lt;$B$14,AE21,AG21)</f>
        <v>375256689.75422591</v>
      </c>
      <c r="AG23" s="30"/>
    </row>
    <row r="24" spans="1:33" ht="24.75" customHeight="1" x14ac:dyDescent="0.65">
      <c r="A24" s="59" t="s">
        <v>43</v>
      </c>
      <c r="B24" s="65">
        <f>0.6*0.35</f>
        <v>0.21</v>
      </c>
      <c r="C24" s="62"/>
      <c r="D24" s="90"/>
      <c r="F24" s="104" t="s">
        <v>108</v>
      </c>
      <c r="G24" s="106">
        <f>B56</f>
        <v>0.18983340230506665</v>
      </c>
      <c r="H24" s="108" t="str">
        <f t="shared" ref="H24" si="4">IF(G24&lt;1, "OK","N.G.")</f>
        <v>OK</v>
      </c>
      <c r="R24" s="37" t="s">
        <v>90</v>
      </c>
      <c r="S24" s="3">
        <f>S21/S23</f>
        <v>8102.3276591840004</v>
      </c>
      <c r="T24" s="4"/>
      <c r="U24" s="38"/>
      <c r="V24" s="37" t="s">
        <v>86</v>
      </c>
      <c r="W24" s="3">
        <f>IF(P16&lt;$B$14,(P16*F16*P16/2-B39*B13)/(P16*F16-B39),(P16*E16*P16/2+(F16-E16)*B14^2/2-B39*B13)/(P16*E16+(F16-E16)*B14-B39))</f>
        <v>21.853185988361805</v>
      </c>
      <c r="X24" s="4"/>
      <c r="Y24" s="38"/>
      <c r="Z24" s="37" t="s">
        <v>90</v>
      </c>
      <c r="AA24" s="3">
        <f>AA21/AA23</f>
        <v>8212.5174080342367</v>
      </c>
      <c r="AB24" s="4"/>
      <c r="AC24" s="38"/>
      <c r="AD24" s="37" t="s">
        <v>86</v>
      </c>
      <c r="AE24" s="3">
        <f>IF(P16&lt;$B$14,(P16*F16*P16/2-B39*B13)/(P16*F16-B39),(P16*E16*P16/2+(F16-E16)*B14^2/2-B39*B13)/(P16*E16+(F16-E16)*B14-B39))</f>
        <v>21.853185988361805</v>
      </c>
      <c r="AF24" s="4"/>
      <c r="AG24" s="38"/>
    </row>
    <row r="25" spans="1:33" ht="24.75" customHeight="1" thickBot="1" x14ac:dyDescent="0.7">
      <c r="A25" s="59" t="s">
        <v>4</v>
      </c>
      <c r="B25" s="61">
        <f>MAX(1.4*(B19+B20+B23),1.2*(B19+B20+B23)+1.6*(B18),1.2*(B19+B20+B23)+(B18)+B24*(B19+B20+B23))</f>
        <v>9.4977499999999999</v>
      </c>
      <c r="C25" s="62" t="s">
        <v>0</v>
      </c>
      <c r="D25" s="90"/>
      <c r="F25" s="104"/>
      <c r="G25" s="106"/>
      <c r="H25" s="108"/>
      <c r="R25" s="39" t="s">
        <v>91</v>
      </c>
      <c r="S25" s="52">
        <f>S21/S19</f>
        <v>0.72491112293952842</v>
      </c>
      <c r="T25" s="32"/>
      <c r="U25" s="33"/>
      <c r="V25" s="37" t="s">
        <v>88</v>
      </c>
      <c r="W25" s="3">
        <f>IF(P16&lt;$B$14,(F16*P16^3/12+F16*P16*(W22-P16/2)^2)-B39*(W22-B13)^2,E16*P16^3/12+E16*P16*(W22-P16/2)^2+(F16-E16)*B14^3/12+(F16-E16)*B14*(W22-B14/2)^2-B39*(W22-B13)^2)</f>
        <v>43634217.21258264</v>
      </c>
      <c r="Y25" s="30"/>
      <c r="Z25" s="39" t="s">
        <v>91</v>
      </c>
      <c r="AA25" s="32">
        <f>AA21/AA19</f>
        <v>0.6697519908987043</v>
      </c>
      <c r="AB25" s="32"/>
      <c r="AC25" s="33"/>
      <c r="AD25" s="37" t="s">
        <v>88</v>
      </c>
      <c r="AE25" s="3">
        <f>IF(P16&lt;$B$14,(F16*P16^3/12+F16*P16*(AE22-P16/2)^2)-B39*(AE22-B13)^2,E16*P16^3/12+E16*P16*(AE22-P16/2)^2+(F16-E16)*B14^3/12+(F16-E16)*B14*(AE22-B14/2)^2-B39*(AE22-B13)^2)</f>
        <v>63913553.283457018</v>
      </c>
      <c r="AG25" s="30"/>
    </row>
    <row r="26" spans="1:33" ht="24.75" customHeight="1" x14ac:dyDescent="0.65">
      <c r="A26" s="59" t="s">
        <v>51</v>
      </c>
      <c r="B26" s="65">
        <v>0.3</v>
      </c>
      <c r="C26" s="60"/>
      <c r="F26" s="104" t="s">
        <v>109</v>
      </c>
      <c r="G26" s="106">
        <f>C85</f>
        <v>0.83089663932057933</v>
      </c>
      <c r="H26" s="108" t="str">
        <f>IF(G26&lt;1, "OK","N.G.")</f>
        <v>OK</v>
      </c>
      <c r="V26" s="37" t="s">
        <v>87</v>
      </c>
      <c r="W26" s="3">
        <f>W24-W22</f>
        <v>-38.857913788442417</v>
      </c>
      <c r="X26" s="4"/>
      <c r="Y26" s="38"/>
      <c r="AD26" s="37" t="s">
        <v>87</v>
      </c>
      <c r="AE26" s="3">
        <f>AE24-AE22</f>
        <v>-47.815188988030698</v>
      </c>
      <c r="AF26" s="4"/>
      <c r="AG26" s="38"/>
    </row>
    <row r="27" spans="1:33" ht="24.75" customHeight="1" thickBot="1" x14ac:dyDescent="0.7">
      <c r="A27" s="59" t="s">
        <v>23</v>
      </c>
      <c r="B27" s="65">
        <v>0.25</v>
      </c>
      <c r="C27" s="60"/>
      <c r="F27" s="105"/>
      <c r="G27" s="107"/>
      <c r="H27" s="109"/>
      <c r="V27" s="37" t="s">
        <v>89</v>
      </c>
      <c r="W27" s="51">
        <f>IF(P16&lt;$B$14,P16*F16-B39,P16*E16+B14*(F16-E16)-B39)</f>
        <v>26121.220843238942</v>
      </c>
      <c r="X27" s="4"/>
      <c r="Y27" s="38"/>
      <c r="AD27" s="37" t="s">
        <v>89</v>
      </c>
      <c r="AE27" s="51">
        <f>IF(P16&lt;$B$14,P16*F16-B39,P16*E16+B14*(F16-E16)-B39)</f>
        <v>26121.220843238942</v>
      </c>
      <c r="AF27" s="4"/>
      <c r="AG27" s="38"/>
    </row>
    <row r="28" spans="1:33" ht="24.75" customHeight="1" x14ac:dyDescent="0.65">
      <c r="F28" s="104" t="s">
        <v>110</v>
      </c>
      <c r="G28" s="106">
        <f>C88</f>
        <v>0.95188464959923358</v>
      </c>
      <c r="H28" s="108" t="str">
        <f>IF(G28&lt;1, "OK","N.G.")</f>
        <v>OK</v>
      </c>
      <c r="V28" s="37" t="s">
        <v>90</v>
      </c>
      <c r="W28" s="3">
        <f>W25/W27</f>
        <v>1670.4509132419305</v>
      </c>
      <c r="X28" s="4"/>
      <c r="Y28" s="38"/>
      <c r="AD28" s="37" t="s">
        <v>90</v>
      </c>
      <c r="AE28" s="3">
        <f>AE25/AE27</f>
        <v>2446.805747212999</v>
      </c>
      <c r="AF28" s="4"/>
      <c r="AG28" s="38"/>
    </row>
    <row r="29" spans="1:33" ht="24.75" customHeight="1" thickBot="1" x14ac:dyDescent="0.7">
      <c r="A29" s="73" t="s">
        <v>123</v>
      </c>
      <c r="B29" s="53" t="s">
        <v>122</v>
      </c>
      <c r="C29" s="54"/>
      <c r="D29" s="98"/>
      <c r="F29" s="105"/>
      <c r="G29" s="107"/>
      <c r="H29" s="109"/>
      <c r="V29" s="39" t="s">
        <v>91</v>
      </c>
      <c r="W29" s="52">
        <f>W25/W23</f>
        <v>0.15020957708738022</v>
      </c>
      <c r="X29" s="32"/>
      <c r="Y29" s="33"/>
      <c r="AD29" s="39" t="s">
        <v>91</v>
      </c>
      <c r="AE29" s="52">
        <f>AE25/AE23</f>
        <v>0.17031955732839074</v>
      </c>
      <c r="AF29" s="32"/>
      <c r="AG29" s="33"/>
    </row>
    <row r="30" spans="1:33" ht="24.75" customHeight="1" thickBot="1" x14ac:dyDescent="0.5">
      <c r="A30" s="6" t="s">
        <v>8</v>
      </c>
      <c r="B30" s="70" t="s">
        <v>146</v>
      </c>
      <c r="C30" s="70" t="s">
        <v>145</v>
      </c>
      <c r="D30" s="70" t="s">
        <v>143</v>
      </c>
      <c r="F30" s="104" t="s">
        <v>131</v>
      </c>
      <c r="G30" s="106">
        <f>B62</f>
        <v>0.56534226190476189</v>
      </c>
      <c r="H30" s="108" t="str">
        <f>IF(G30&lt;1, "OK","N.G.")</f>
        <v>OK</v>
      </c>
    </row>
    <row r="31" spans="1:33" ht="24.75" customHeight="1" thickBot="1" x14ac:dyDescent="0.5">
      <c r="A31" s="8" t="s">
        <v>48</v>
      </c>
      <c r="B31" s="65">
        <v>2</v>
      </c>
      <c r="C31" s="65">
        <v>0</v>
      </c>
      <c r="D31" s="65">
        <v>0</v>
      </c>
      <c r="F31" s="105"/>
      <c r="G31" s="107"/>
      <c r="H31" s="109"/>
      <c r="J31" s="113" t="s">
        <v>100</v>
      </c>
      <c r="K31" s="114"/>
      <c r="L31" s="115"/>
      <c r="N31" s="110" t="str">
        <f>"CASE2: D+SD+"&amp;B$27&amp;"*Live    (without Creep)"</f>
        <v>CASE2: D+SD+0.25*Live    (without Creep)</v>
      </c>
      <c r="O31" s="111"/>
      <c r="P31" s="112"/>
      <c r="S31" s="42" t="str">
        <f>"CASE3: D+SD+"&amp;B$27&amp;"*Live  (5year Creep)"</f>
        <v>CASE3: D+SD+0.25*Live  (5year Creep)</v>
      </c>
      <c r="T31" s="43"/>
      <c r="U31" s="44"/>
      <c r="X31" s="110" t="str">
        <f>"CASE4: D+"&amp;B$26&amp;"(SD)    (3month Creep)"</f>
        <v>CASE4: D+0.3(SD)    (3month Creep)</v>
      </c>
      <c r="Y31" s="111"/>
      <c r="Z31" s="112"/>
    </row>
    <row r="32" spans="1:33" ht="24.75" customHeight="1" x14ac:dyDescent="0.45">
      <c r="A32" s="9"/>
      <c r="B32" s="97">
        <f>IF(B30="f8",8,IF(B30="f10",10,IF(B30="f12",12,IF(B30="f14",14,IF(B30="f16",16,IF(B30="f18",18,IF(B30="f20",20)))))))</f>
        <v>14</v>
      </c>
      <c r="C32" s="97">
        <f>IF(C30="f8",8,IF(C30="f10",10,IF(C30="f12",12,IF(C30="f14",14,IF(C30="f16",16,IF(C30="f18",18,IF(C30="f20",20)))))))</f>
        <v>12</v>
      </c>
      <c r="D32" s="97">
        <f>IF(D30="f8",8,IF(D30="f10",10,IF(D30="f12",12,IF(D30="f14",14,IF(D30="f16",16,IF(D30="f18",18,IF(D30="f20",20)))))))</f>
        <v>10</v>
      </c>
      <c r="F32" s="104" t="s">
        <v>132</v>
      </c>
      <c r="G32" s="106">
        <f>B67</f>
        <v>0</v>
      </c>
      <c r="H32" s="108" t="str">
        <f>IF(G32&lt;1, "OK","N.G.")</f>
        <v>OK</v>
      </c>
      <c r="J32" s="40" t="s">
        <v>77</v>
      </c>
      <c r="K32">
        <f>SUM(K18:K20)</f>
        <v>19.569937499999998</v>
      </c>
      <c r="L32" s="30" t="s">
        <v>7</v>
      </c>
      <c r="N32" s="40" t="str">
        <f>"Ma-(D+SD+"&amp;B$27&amp;"L)="</f>
        <v>Ma-(D+SD+0.25L)=</v>
      </c>
      <c r="O32">
        <f>K18+K19+B27*K20</f>
        <v>15.519937499999999</v>
      </c>
      <c r="P32" s="30" t="s">
        <v>7</v>
      </c>
      <c r="S32" s="40" t="s">
        <v>77</v>
      </c>
      <c r="T32" s="25">
        <f>O32</f>
        <v>15.519937499999999</v>
      </c>
      <c r="U32" s="30" t="s">
        <v>7</v>
      </c>
      <c r="X32" s="24" t="str">
        <f>"Ma-(D+"&amp;B26&amp;"*(SD))="</f>
        <v>Ma-(D+0.3*(SD))=</v>
      </c>
      <c r="Y32" s="25">
        <f>IF(K18+B26*K19&gt;0,K18+B26*K19,0.000001)</f>
        <v>8.4999375000000015</v>
      </c>
      <c r="Z32" s="30" t="s">
        <v>7</v>
      </c>
    </row>
    <row r="33" spans="1:28" ht="24.75" customHeight="1" thickBot="1" x14ac:dyDescent="0.7">
      <c r="A33" s="72" t="s">
        <v>30</v>
      </c>
      <c r="B33" s="57"/>
      <c r="C33" s="58"/>
      <c r="D33" s="91"/>
      <c r="F33" s="105"/>
      <c r="G33" s="107"/>
      <c r="H33" s="109"/>
      <c r="J33" s="34" t="s">
        <v>72</v>
      </c>
      <c r="K33">
        <f>(1-(K17/K32)^2)</f>
        <v>0.83322750398419809</v>
      </c>
      <c r="L33" s="30"/>
      <c r="N33" s="34" t="s">
        <v>72</v>
      </c>
      <c r="O33">
        <f>MAX(0,1-(K17/O32)^2)</f>
        <v>0.73483062190143289</v>
      </c>
      <c r="P33" s="30"/>
      <c r="S33" s="34" t="s">
        <v>73</v>
      </c>
      <c r="T33" s="25">
        <f>MAX(0,1-0.5*($K17/T32)^2)</f>
        <v>0.86741531095071644</v>
      </c>
      <c r="U33" s="30"/>
      <c r="X33" s="34" t="s">
        <v>73</v>
      </c>
      <c r="Y33" s="25">
        <f>MAX(0,1-0.5*($K17/Y32)^2)</f>
        <v>0.55798007590532328</v>
      </c>
      <c r="Z33" s="30"/>
    </row>
    <row r="34" spans="1:28" ht="24.75" customHeight="1" x14ac:dyDescent="0.65">
      <c r="A34" s="7" t="s">
        <v>8</v>
      </c>
      <c r="B34" s="70" t="s">
        <v>144</v>
      </c>
      <c r="C34" s="69" t="s">
        <v>3</v>
      </c>
      <c r="D34" s="92"/>
      <c r="F34" s="2"/>
      <c r="J34" s="34" t="s">
        <v>74</v>
      </c>
      <c r="K34">
        <f>(K32*10^6/K8/K15)</f>
        <v>1.605810579670134E-6</v>
      </c>
      <c r="L34" s="30"/>
      <c r="N34" s="34" t="s">
        <v>74</v>
      </c>
      <c r="O34">
        <f>(O32*10^6/K8/K15)</f>
        <v>1.2734879625098062E-6</v>
      </c>
      <c r="P34" s="30"/>
      <c r="S34" s="34" t="s">
        <v>94</v>
      </c>
      <c r="T34" s="25">
        <f>(AA25*(AA9*(O34+O34*(AA18-K14)*AA22/AA24)-AA8*AA22/AA24))</f>
        <v>3.0138664620157846E-6</v>
      </c>
      <c r="U34" s="30"/>
      <c r="X34" s="34" t="s">
        <v>94</v>
      </c>
      <c r="Y34" s="25">
        <f>S25*(S9*(O34*Y32/O32+O34*Y32/O32*(S18-K14)*S22/S24)-S8*S22/S24)</f>
        <v>1.3413231902137158E-6</v>
      </c>
      <c r="Z34" s="30"/>
    </row>
    <row r="35" spans="1:28" ht="24.75" customHeight="1" x14ac:dyDescent="0.65">
      <c r="A35" s="17" t="s">
        <v>10</v>
      </c>
      <c r="B35" s="65">
        <v>200</v>
      </c>
      <c r="C35" s="69" t="s">
        <v>3</v>
      </c>
      <c r="D35" s="92"/>
      <c r="F35" s="2"/>
      <c r="J35" s="34" t="s">
        <v>75</v>
      </c>
      <c r="K35">
        <f>(K32*10^6/O8/P17)</f>
        <v>5.5110972245218186E-6</v>
      </c>
      <c r="L35" s="30"/>
      <c r="N35" s="34" t="s">
        <v>75</v>
      </c>
      <c r="O35">
        <f>O32*10^6/O8/P17</f>
        <v>4.3705752499721622E-6</v>
      </c>
      <c r="P35" s="30"/>
      <c r="S35" s="34" t="s">
        <v>95</v>
      </c>
      <c r="T35" s="25">
        <f>AE29*(AE9*(O35+O35*(AE22-P16)*AE26/AE28)-AE8*AE26/AE28)</f>
        <v>3.4613985098872293E-6</v>
      </c>
      <c r="U35" s="30"/>
      <c r="X35" s="34" t="s">
        <v>95</v>
      </c>
      <c r="Y35" s="25">
        <f>W29*(W9*(O35*Y32/O32+O35*Y32/O32*(W22-P16)*W26/W28)-W8*W26/W28)</f>
        <v>2.269163847824186E-6</v>
      </c>
      <c r="Z35" s="30"/>
    </row>
    <row r="36" spans="1:28" ht="24.75" customHeight="1" x14ac:dyDescent="0.65">
      <c r="A36" s="12"/>
      <c r="B36" s="99">
        <f>IF(B34="2f4.5",4.5*2^0.5,IF(B34="2f5",5*2^0.5,IF(B34="2f5.5",5.5*2^0.5,IF(B34="f6",6,IF(B34="2f6",6*2^0.5,IF(B34="f8",8,IF(B34="2f8",8*2^0.5,IF(B34="f10",10,IF(B34="2f10",10*2^0.5)))))))))</f>
        <v>14.142135623730951</v>
      </c>
      <c r="E36" s="2"/>
      <c r="F36" s="2"/>
      <c r="J36" s="34" t="s">
        <v>76</v>
      </c>
      <c r="K36">
        <f>K33*K35+(1-K33)*K34</f>
        <v>4.8598028231027267E-6</v>
      </c>
      <c r="L36" s="30"/>
      <c r="N36" s="34" t="s">
        <v>76</v>
      </c>
      <c r="O36">
        <f>IF(O32&lt;K$17,(O32*10^6/K$8/K$15),O33*O35+(1-O33)*O34)</f>
        <v>3.5493225400387908E-6</v>
      </c>
      <c r="P36" s="30"/>
      <c r="S36" s="34" t="s">
        <v>96</v>
      </c>
      <c r="T36" s="25">
        <f>T34+O34</f>
        <v>4.2873544245255912E-6</v>
      </c>
      <c r="U36" s="30"/>
      <c r="X36" s="34" t="s">
        <v>96</v>
      </c>
      <c r="Y36" s="25">
        <f>Y34+O34*Y32/O32</f>
        <v>2.0387852829789537E-6</v>
      </c>
      <c r="Z36" s="30"/>
    </row>
    <row r="37" spans="1:28" ht="24.75" customHeight="1" thickBot="1" x14ac:dyDescent="0.65">
      <c r="A37" s="16" t="s">
        <v>29</v>
      </c>
      <c r="B37" s="86" t="str">
        <f>"1 f"&amp;IF(B10&lt;=5.5,8,IF(B10&lt;=7,10,12))</f>
        <v>1 f10</v>
      </c>
      <c r="C37" s="22">
        <f>IF(B10&lt;=4,8,IF(B10&lt;=5.5,10,IF(B10&lt;=7,12,14)))</f>
        <v>12</v>
      </c>
      <c r="D37" s="22"/>
      <c r="E37" s="2"/>
      <c r="F37" s="2"/>
      <c r="J37" s="35" t="str">
        <f>"delta (D+SD+L)="</f>
        <v>delta (D+SD+L)=</v>
      </c>
      <c r="K37" s="32">
        <f>5/48*K36*(B10*1000)^2</f>
        <v>18.224260586635225</v>
      </c>
      <c r="L37" s="33" t="s">
        <v>3</v>
      </c>
      <c r="N37" s="35" t="str">
        <f>"delta (D+SD+L)="</f>
        <v>delta (D+SD+L)=</v>
      </c>
      <c r="O37" s="32">
        <f>5/48*O36*(B10*1000)^2</f>
        <v>13.309959525145466</v>
      </c>
      <c r="P37" s="33" t="s">
        <v>3</v>
      </c>
      <c r="S37" s="34" t="s">
        <v>98</v>
      </c>
      <c r="T37" s="25">
        <f>T35+O35</f>
        <v>7.8319737598593911E-6</v>
      </c>
      <c r="U37" s="30"/>
      <c r="X37" s="34" t="s">
        <v>98</v>
      </c>
      <c r="Y37" s="25">
        <f>Y35+O35*Y32/O32</f>
        <v>4.6628343419102779E-6</v>
      </c>
      <c r="Z37" s="30"/>
    </row>
    <row r="38" spans="1:28" ht="24.75" customHeight="1" x14ac:dyDescent="0.65">
      <c r="A38" s="16" t="s">
        <v>49</v>
      </c>
      <c r="B38" s="70" t="s">
        <v>141</v>
      </c>
      <c r="C38" s="71">
        <f>IF(B38="f6",6,IF(B38="f8",8,IF(B38="f10",10,IF(B38="f12",12,IF(B38="f14",14,IF(B38="f16",16,IF(B38="1f18",18)))))))</f>
        <v>8</v>
      </c>
      <c r="D38" s="71"/>
      <c r="E38" s="2"/>
      <c r="F38" s="2"/>
      <c r="S38" s="34" t="s">
        <v>97</v>
      </c>
      <c r="T38" s="25">
        <f>T33*T37+(1-T33)*T36</f>
        <v>7.3620115074860812E-6</v>
      </c>
      <c r="U38" s="30"/>
      <c r="X38" s="34" t="s">
        <v>97</v>
      </c>
      <c r="Y38" s="25">
        <f>Y33*Y37+(1-Y33)*Y36</f>
        <v>3.502952376060746E-6</v>
      </c>
      <c r="Z38" s="30"/>
    </row>
    <row r="39" spans="1:28" ht="24.75" customHeight="1" thickBot="1" x14ac:dyDescent="0.5">
      <c r="A39" s="16" t="s">
        <v>102</v>
      </c>
      <c r="B39" s="66">
        <f>PI()/4*(C37^2*E17+C38^2)</f>
        <v>163.36281798666926</v>
      </c>
      <c r="C39" s="22" t="s">
        <v>16</v>
      </c>
      <c r="D39" s="22"/>
      <c r="E39" s="2"/>
      <c r="F39" s="2"/>
      <c r="S39" s="46" t="str">
        <f>"delta (D+SD+L)="</f>
        <v>delta (D+SD+L)=</v>
      </c>
      <c r="T39" s="25">
        <f>5/48*T38*(B10*1000)^2</f>
        <v>27.607543153072804</v>
      </c>
      <c r="U39" s="30" t="s">
        <v>3</v>
      </c>
      <c r="X39" s="46" t="str">
        <f>"delta (D+SD+L)="</f>
        <v>delta (D+SD+L)=</v>
      </c>
      <c r="Y39" s="25">
        <f>5/48*Y38*(B10*1000)^2</f>
        <v>13.136071410227798</v>
      </c>
      <c r="Z39" s="30" t="s">
        <v>3</v>
      </c>
    </row>
    <row r="40" spans="1:28" ht="24.75" customHeight="1" x14ac:dyDescent="0.65">
      <c r="A40" s="16" t="s">
        <v>50</v>
      </c>
      <c r="B40" s="74" t="str">
        <f>"2 f"&amp;MAX(10,ROUNDUP((B44/4/PI())^0.5,0)*2)</f>
        <v>2 f10</v>
      </c>
      <c r="C40" s="22"/>
      <c r="D40" s="22"/>
      <c r="E40" s="2"/>
      <c r="F40" s="2"/>
      <c r="G40" s="4"/>
      <c r="I40" s="45">
        <v>0.05</v>
      </c>
      <c r="J40" s="27" t="s">
        <v>101</v>
      </c>
      <c r="K40" s="48" t="s">
        <v>76</v>
      </c>
      <c r="L40" s="27"/>
      <c r="M40" s="28"/>
      <c r="N40" s="45">
        <v>0.05</v>
      </c>
      <c r="O40" s="27" t="s">
        <v>101</v>
      </c>
      <c r="P40" s="48" t="s">
        <v>76</v>
      </c>
      <c r="Q40" s="27"/>
      <c r="R40" s="28"/>
      <c r="S40" s="45">
        <v>0.05</v>
      </c>
      <c r="T40" s="27" t="s">
        <v>101</v>
      </c>
      <c r="U40" s="48" t="s">
        <v>76</v>
      </c>
      <c r="V40" s="27"/>
      <c r="W40" s="28"/>
      <c r="X40" s="45">
        <v>0.05</v>
      </c>
      <c r="Y40" s="27" t="s">
        <v>101</v>
      </c>
      <c r="Z40" s="27"/>
      <c r="AA40" s="27"/>
      <c r="AB40" s="28"/>
    </row>
    <row r="41" spans="1:28" ht="24.75" customHeight="1" x14ac:dyDescent="0.65">
      <c r="A41" s="16" t="s">
        <v>13</v>
      </c>
      <c r="B41" s="74" t="str">
        <f>"1 f"&amp;MAX(10,ROUNDUP((B44*0.15/PI())^0.5,0)*2)</f>
        <v>1 f10</v>
      </c>
      <c r="C41" s="22"/>
      <c r="D41" s="22"/>
      <c r="E41" s="2"/>
      <c r="I41" s="41">
        <f>0+I$40*$B$10*1000</f>
        <v>300.00000000000006</v>
      </c>
      <c r="J41">
        <f t="shared" ref="J41:J50" si="5">K$32*4*((I41/$B$10/1000)-(I41/$B$10/1000)^2)</f>
        <v>3.7182881250000004</v>
      </c>
      <c r="K41">
        <f t="shared" ref="K41:K50" si="6">IF(J41&lt;K$17,(J41*10^6/K$8/K$15),(1-(K$17/J41)^2)*(J41*10^6/O$8/P$17)+(1-(1-(K$17/J41)^2))*(J41*10^6/K$8/K$15))</f>
        <v>3.0510401013732552E-7</v>
      </c>
      <c r="L41">
        <f>K41*I41/2</f>
        <v>4.5765601520598833E-5</v>
      </c>
      <c r="M41" s="30">
        <f>I50-I$41*2/3</f>
        <v>2800.0000000000005</v>
      </c>
      <c r="N41" s="41">
        <f>0+N$40*$B$10*1000</f>
        <v>300.00000000000006</v>
      </c>
      <c r="O41">
        <f>O$32*4*((N41/$B$10/1000)-(N41/$B$10/1000)^2)</f>
        <v>2.9487881250000005</v>
      </c>
      <c r="P41">
        <f t="shared" ref="P41:P50" si="7">IF(O41&lt;K$17,(O41*10^6/K$8/K$15),(1-(K$17/O41)^2)*(O41*10^6/O$8/P$17)+(1-(1-(K$17/O41)^2))*(O41*10^6/K$8/K$15))</f>
        <v>2.4196271287686319E-7</v>
      </c>
      <c r="Q41">
        <f>P41*N41/2</f>
        <v>3.6294406931529484E-5</v>
      </c>
      <c r="R41" s="30">
        <f>N50-N$41*2/3</f>
        <v>2800.0000000000005</v>
      </c>
      <c r="S41" s="41">
        <f>0+S$40*$B$10*1000</f>
        <v>300.00000000000006</v>
      </c>
      <c r="T41">
        <f t="shared" ref="T41:T50" si="8">T$32*4*((S41/$B$10/1000)-(S41/$B$10/1000)^2)</f>
        <v>2.9487881250000005</v>
      </c>
      <c r="U41">
        <f>MAX(0,1-0.5*($K$17/T41)^2)*(($AE$29*($AE$9*((T41*10^6/$O$8/$P$17)+(T41*10^6/$O$8/$P$17)*($AE$22-$P$16)*$AE$26/$AE$28)-$AE$8*$AE$26/$AE$28))+(T41*10^6/$O$8/$P$17))+(1-MAX(0,1-0.5*($K$17/T41)^2))*(($AA$25*($AA$9*((T41*10^6/$K$8/$K$15)+(T41*10^6/$K$8/$K$15)*($AA$18-$K$14)*$AA$22/$AA$24)-$AA$8*$AA$22/$AA$24))+(T41*10^6/$K$8/$K$15))</f>
        <v>1.665041978608062E-6</v>
      </c>
      <c r="V41">
        <f>U41*S41/2</f>
        <v>2.4975629679120935E-4</v>
      </c>
      <c r="W41" s="30">
        <f>S50-S$41*2/3</f>
        <v>2800.0000000000005</v>
      </c>
      <c r="X41" s="41">
        <f>0+X$40*$B$10*1000</f>
        <v>300.00000000000006</v>
      </c>
      <c r="Y41">
        <f>Y$32*4*((X41/$B$10/1000)-(X41/$B$10/1000)^2)</f>
        <v>1.6149881250000004</v>
      </c>
      <c r="Z41">
        <f>(MAX(0,1-0.5*($K$17/Y41)^2))*(($W$29*($W$9*($O$35*Y41/$O$32+$O$35*Y41/$O$32*($W$22-$P$16)*$W$26/$W$28)-$W$8*$W$26/$W$28))+$O$35*Y41/$O$32)+(1-(MAX(0,1-0.5*($K$17/Y41)^2)))*(($S$25*($S$9*($O$34*Y41/$O$32+$O$34*Y41/$O$32*($S$18-$K$14)*$S$22/$S$24)-$S$8*$S$22/$S$24))+$O$34*Y41/$O$32)</f>
        <v>9.061426047575372E-7</v>
      </c>
      <c r="AA41">
        <f>Z41*X41/2</f>
        <v>1.3592139071363061E-4</v>
      </c>
      <c r="AB41" s="30">
        <f>X50-X$41*2/3</f>
        <v>2800.0000000000005</v>
      </c>
    </row>
    <row r="42" spans="1:28" ht="24.75" customHeight="1" x14ac:dyDescent="0.65">
      <c r="F42" s="2"/>
      <c r="I42" s="41">
        <f t="shared" ref="I42:I50" si="9">I41+I$40*$B$10*1000</f>
        <v>600.00000000000011</v>
      </c>
      <c r="J42">
        <f t="shared" si="5"/>
        <v>7.0451775000000003</v>
      </c>
      <c r="K42">
        <f t="shared" si="6"/>
        <v>5.7809180868124822E-7</v>
      </c>
      <c r="L42">
        <f t="shared" ref="L42:L50" si="10">K41*(I42-I41)+(K42-K41)*(I42-I41)/2</f>
        <v>1.3247937282278609E-4</v>
      </c>
      <c r="M42" s="30">
        <f t="shared" ref="M42:M50" si="11">(K41*(I42-I41)*(I$50-(I41+I42)/2)+(K42-K41)*(I42-I41)/2*(I$50-(2*I42+I41)/3))/(K41*(I42-I41)+(K42-K41)*(I42-I41)/2)</f>
        <v>2534.5454545454545</v>
      </c>
      <c r="N42" s="41">
        <f>N41+N$40*$B$10*1000</f>
        <v>600.00000000000011</v>
      </c>
      <c r="O42">
        <f>O$32*4*((N42/$B$10/1000)-(N42/$B$10/1000)^2)</f>
        <v>5.5871775000000001</v>
      </c>
      <c r="P42">
        <f t="shared" si="7"/>
        <v>4.5845566650353022E-7</v>
      </c>
      <c r="Q42">
        <f>P41*(N42-N41)+(P42-P41)*(N42-N41)/2</f>
        <v>1.0506275690705903E-4</v>
      </c>
      <c r="R42" s="30">
        <f>(P41*(N42-N41)*(N$50-(N41+N42)/2)+(P42-P41)*(N42-N41)/2*(N$50-(2*N42+N41)/3))/(P41*(N42-N41)+(P42-P41)*(N42-N41)/2)</f>
        <v>2534.545454545455</v>
      </c>
      <c r="S42" s="41">
        <f>S41+S$40*$B$10*1000</f>
        <v>600.00000000000011</v>
      </c>
      <c r="T42">
        <f t="shared" si="8"/>
        <v>5.5871775000000001</v>
      </c>
      <c r="U42">
        <f t="shared" ref="U42:U50" si="12">MAX(0,1-0.5*($K$17/T42)^2)*(($AE$29*($AE$9*((T42*10^6/$O$8/$P$17)+(T42*10^6/$O$8/$P$17)*($AE$22-$P$16)*$AE$26/$AE$28)-$AE$8*$AE$26/$AE$28))+(T42*10^6/$O$8/$P$17))+(1-MAX(0,1-0.5*($K$17/T42)^2))*(($AA$25*($AA$9*((T42*10^6/$K$8/$K$15)+(T42*10^6/$K$8/$K$15)*($AA$18-$K$14)*$AA$22/$AA$24)-$AA$8*$AA$22/$AA$24))+(T42*10^6/$K$8/$K$15))</f>
        <v>2.2154038499734694E-6</v>
      </c>
      <c r="V42">
        <f t="shared" ref="V42:V50" si="13">U41*(S42-S41)+(U42-U41)*(S42-S41)/2</f>
        <v>5.8206687428722986E-4</v>
      </c>
      <c r="W42" s="30">
        <f t="shared" ref="W42:W50" si="14">(U41*(S42-S41)*(S$50-(S41+S42)/2)+(U42-U41)*(S42-S41)/2*(S$50-(2*S42+S41)/3))/(U41*(S42-S41)+(U42-U41)*(S42-S41)/2)</f>
        <v>2542.9085226842794</v>
      </c>
      <c r="X42" s="41">
        <f>X41+X$40*$B$10*1000</f>
        <v>600.00000000000011</v>
      </c>
      <c r="Y42">
        <f>Y$32*4*((X42/$B$10/1000)-(X42/$B$10/1000)^2)</f>
        <v>3.0599775000000009</v>
      </c>
      <c r="Z42">
        <f t="shared" ref="Z42:Z50" si="15">(MAX(0,1-0.5*($K$17/Y42)^2))*(($W$29*($W$9*($O$35*Y42/$O$32+$O$35*Y42/$O$32*($W$22-$P$16)*$W$26/$W$28)-$W$8*$W$26/$W$28))+$O$35*Y42/$O$32)+(1-(MAX(0,1-0.5*($K$17/Y42)^2)))*(($S$25*($S$9*($O$34*Y42/$O$32+$O$34*Y42/$O$32*($S$18-$K$14)*$S$22/$S$24)-$S$8*$S$22/$S$24))+$O$34*Y42/$O$32)</f>
        <v>1.143857734754625E-6</v>
      </c>
      <c r="AA42">
        <f>Z41*(X42-X41)+(Z42-Z41)*(X42-X41)/2</f>
        <v>3.0750005092682438E-4</v>
      </c>
      <c r="AB42" s="30">
        <f t="shared" ref="AB42:AB50" si="16">(Z41*(X42-X41)*(X$50-(X41+X42)/2)+(Z42-Z41)*(X42-X41)/2*(X$50-(2*X42+X41)/3))/(Z41*(X42-X41)+(Z42-Z41)*(X42-X41)/2)</f>
        <v>2544.2020709602998</v>
      </c>
    </row>
    <row r="43" spans="1:28" ht="24.75" customHeight="1" x14ac:dyDescent="0.65">
      <c r="A43" s="101" t="s">
        <v>124</v>
      </c>
      <c r="B43" s="102"/>
      <c r="C43" s="103"/>
      <c r="D43" s="93"/>
      <c r="F43" s="2"/>
      <c r="I43" s="41">
        <f t="shared" si="9"/>
        <v>900.00000000000023</v>
      </c>
      <c r="J43">
        <f t="shared" si="5"/>
        <v>9.9806681249999993</v>
      </c>
      <c r="K43">
        <f t="shared" si="6"/>
        <v>1.5336117385863385E-6</v>
      </c>
      <c r="L43">
        <f t="shared" si="10"/>
        <v>3.1675553209013812E-4</v>
      </c>
      <c r="M43" s="30">
        <f t="shared" si="11"/>
        <v>2227.3756138464259</v>
      </c>
      <c r="N43" s="41">
        <f t="shared" ref="N43:N50" si="17">N42+N$40*$B$10*1000</f>
        <v>900.00000000000023</v>
      </c>
      <c r="O43">
        <f>O$32*4*((N43/$B$10/1000)-(N43/$B$10/1000)^2)</f>
        <v>7.9151681250000001</v>
      </c>
      <c r="P43">
        <f t="shared" si="7"/>
        <v>6.4947886088000112E-7</v>
      </c>
      <c r="Q43">
        <f t="shared" ref="Q43:Q44" si="18">P42*(N43-N42)+(P43-P42)*(N43-N42)/2</f>
        <v>1.6619017910752976E-4</v>
      </c>
      <c r="R43" s="30">
        <f t="shared" ref="R43:R50" si="19">(P42*(N43-N42)*(N$50-(N42+N43)/2)+(P43-P42)*(N43-N42)/2*(N$50-(2*N43+N42)/3))/(P42*(N43-N42)+(P43-P42)*(N43-N42)/2)</f>
        <v>2241.3793103448279</v>
      </c>
      <c r="S43" s="41">
        <f t="shared" ref="S43:S50" si="20">S42+S$40*$B$10*1000</f>
        <v>900.00000000000023</v>
      </c>
      <c r="T43">
        <f t="shared" si="8"/>
        <v>7.9151681250000001</v>
      </c>
      <c r="U43">
        <f t="shared" si="12"/>
        <v>3.9587125593181619E-6</v>
      </c>
      <c r="V43">
        <f t="shared" si="13"/>
        <v>9.2611746139374511E-4</v>
      </c>
      <c r="W43" s="30">
        <f t="shared" si="14"/>
        <v>2235.8821198550686</v>
      </c>
      <c r="X43" s="41">
        <f t="shared" ref="X43:X50" si="21">X42+X$40*$B$10*1000</f>
        <v>900.00000000000023</v>
      </c>
      <c r="Y43">
        <f t="shared" ref="Y43:Y50" si="22">Y$32*4*((X43/$B$10/1000)-(X43/$B$10/1000)^2)</f>
        <v>4.3349681250000005</v>
      </c>
      <c r="Z43">
        <f t="shared" si="15"/>
        <v>1.3536063788697018E-6</v>
      </c>
      <c r="AA43">
        <f>Z42*(X43-X42)+(Z43-Z42)*(X43-X42)/2</f>
        <v>3.7461961704364917E-4</v>
      </c>
      <c r="AB43" s="30">
        <f t="shared" si="16"/>
        <v>2245.8007676072134</v>
      </c>
    </row>
    <row r="44" spans="1:28" ht="24.75" customHeight="1" x14ac:dyDescent="0.65">
      <c r="A44" s="76" t="s">
        <v>20</v>
      </c>
      <c r="B44" s="77">
        <f>((B31*B32^2*PI()/4+C31*C32^2*PI()/4+D31*D32^2*PI()/4))*E17</f>
        <v>307.8760800517997</v>
      </c>
      <c r="C44" s="78" t="s">
        <v>44</v>
      </c>
      <c r="D44" s="94"/>
      <c r="E44" s="2"/>
      <c r="I44" s="41">
        <f t="shared" si="9"/>
        <v>1200.0000000000002</v>
      </c>
      <c r="J44">
        <f t="shared" si="5"/>
        <v>12.524760000000001</v>
      </c>
      <c r="K44">
        <f t="shared" si="6"/>
        <v>2.509454721476632E-6</v>
      </c>
      <c r="L44">
        <f t="shared" si="10"/>
        <v>6.0645996900944555E-4</v>
      </c>
      <c r="M44" s="30">
        <f t="shared" si="11"/>
        <v>1937.9318953506013</v>
      </c>
      <c r="N44" s="41">
        <f t="shared" si="17"/>
        <v>1200.0000000000002</v>
      </c>
      <c r="O44">
        <f>O$32*4*((N44/$B$10/1000)-(N44/$B$10/1000)^2)</f>
        <v>9.9327600000000018</v>
      </c>
      <c r="P44">
        <f t="shared" si="7"/>
        <v>1.5139608007112922E-6</v>
      </c>
      <c r="Q44">
        <f t="shared" si="18"/>
        <v>3.2451594923869399E-4</v>
      </c>
      <c r="R44" s="30">
        <f t="shared" si="19"/>
        <v>1930.0206598044103</v>
      </c>
      <c r="S44" s="41">
        <f t="shared" si="20"/>
        <v>1200.0000000000002</v>
      </c>
      <c r="T44">
        <f t="shared" si="8"/>
        <v>9.9327600000000018</v>
      </c>
      <c r="U44">
        <f t="shared" si="12"/>
        <v>5.032574896604936E-6</v>
      </c>
      <c r="V44">
        <f t="shared" si="13"/>
        <v>1.3486931183884648E-3</v>
      </c>
      <c r="W44" s="30">
        <f t="shared" si="14"/>
        <v>1944.0283171762053</v>
      </c>
      <c r="X44" s="41">
        <f t="shared" si="21"/>
        <v>1200.0000000000002</v>
      </c>
      <c r="Y44">
        <f t="shared" si="22"/>
        <v>5.4399600000000019</v>
      </c>
      <c r="Z44">
        <f t="shared" si="15"/>
        <v>1.5353885371027688E-6</v>
      </c>
      <c r="AA44">
        <f t="shared" ref="AA44:AA50" si="23">Z43*(X44-X43)+(Z44-Z43)*(X44-X43)/2</f>
        <v>4.3334923739587057E-4</v>
      </c>
      <c r="AB44" s="30">
        <f t="shared" si="16"/>
        <v>1946.8538858059594</v>
      </c>
    </row>
    <row r="45" spans="1:28" ht="24.75" customHeight="1" x14ac:dyDescent="0.65">
      <c r="A45" s="76" t="s">
        <v>4</v>
      </c>
      <c r="B45" s="77">
        <f>B25*(B15+E16)/1000</f>
        <v>5.6986499999999998</v>
      </c>
      <c r="C45" s="78" t="s">
        <v>5</v>
      </c>
      <c r="D45" s="94"/>
      <c r="E45" s="2">
        <f>(1.2*(B19+B20+B23))*(B15+E16)/1000</f>
        <v>3.7786499999999998</v>
      </c>
      <c r="I45" s="41">
        <f t="shared" si="9"/>
        <v>1500.0000000000002</v>
      </c>
      <c r="J45">
        <f t="shared" si="5"/>
        <v>14.677453125000001</v>
      </c>
      <c r="K45">
        <f t="shared" si="6"/>
        <v>3.264930383165908E-6</v>
      </c>
      <c r="L45">
        <f t="shared" si="10"/>
        <v>8.6615776569638097E-4</v>
      </c>
      <c r="M45" s="30">
        <f t="shared" si="11"/>
        <v>1643.4583886595835</v>
      </c>
      <c r="N45" s="41">
        <f t="shared" si="17"/>
        <v>1500.0000000000002</v>
      </c>
      <c r="O45">
        <f>O$32*4*((N45/$B$10/1000)-(N45/$B$10/1000)^2)</f>
        <v>11.639953125000002</v>
      </c>
      <c r="P45">
        <f t="shared" si="7"/>
        <v>2.1829278242346277E-6</v>
      </c>
      <c r="Q45">
        <f>P44*(N45-N44)+(P45-P44)*(N45-N44)/2</f>
        <v>5.5453329374188798E-4</v>
      </c>
      <c r="R45" s="30">
        <f t="shared" si="19"/>
        <v>1640.9522967636995</v>
      </c>
      <c r="S45" s="41">
        <f t="shared" si="20"/>
        <v>1500.0000000000002</v>
      </c>
      <c r="T45">
        <f t="shared" si="8"/>
        <v>11.639953125000002</v>
      </c>
      <c r="U45">
        <f t="shared" si="12"/>
        <v>5.8052833216798067E-6</v>
      </c>
      <c r="V45">
        <f t="shared" si="13"/>
        <v>1.6256787327427113E-3</v>
      </c>
      <c r="W45" s="30">
        <f t="shared" si="14"/>
        <v>1646.4351423984715</v>
      </c>
      <c r="X45" s="41">
        <f t="shared" si="21"/>
        <v>1500.0000000000002</v>
      </c>
      <c r="Y45">
        <f t="shared" si="22"/>
        <v>6.374953125000002</v>
      </c>
      <c r="Z45">
        <f t="shared" si="15"/>
        <v>2.1815879030255519E-6</v>
      </c>
      <c r="AA45">
        <f t="shared" si="23"/>
        <v>5.5754646601924806E-4</v>
      </c>
      <c r="AB45" s="30">
        <f t="shared" si="16"/>
        <v>1641.307459485801</v>
      </c>
    </row>
    <row r="46" spans="1:28" ht="24.75" customHeight="1" x14ac:dyDescent="0.65">
      <c r="A46" s="76" t="s">
        <v>6</v>
      </c>
      <c r="B46" s="77">
        <f>MAX(B45*B10^2/8,E46+E47)</f>
        <v>25.643924999999999</v>
      </c>
      <c r="C46" s="78" t="s">
        <v>7</v>
      </c>
      <c r="D46" s="94"/>
      <c r="E46" s="2">
        <f>E45*(B10)^2/8</f>
        <v>17.003924999999999</v>
      </c>
      <c r="F46" s="2"/>
      <c r="I46" s="41">
        <f t="shared" si="9"/>
        <v>1800.0000000000002</v>
      </c>
      <c r="J46">
        <f t="shared" si="5"/>
        <v>16.438747500000002</v>
      </c>
      <c r="K46">
        <f t="shared" si="6"/>
        <v>3.8539711907184565E-6</v>
      </c>
      <c r="L46">
        <f t="shared" si="10"/>
        <v>1.0678352360826548E-3</v>
      </c>
      <c r="M46" s="30">
        <f t="shared" si="11"/>
        <v>1345.8628392214789</v>
      </c>
      <c r="N46" s="41">
        <f t="shared" si="17"/>
        <v>1800.0000000000002</v>
      </c>
      <c r="O46">
        <f t="shared" ref="O46:O50" si="24">O$32*4*((N46/$B$10/1000)-(N46/$B$10/1000)^2)</f>
        <v>13.036747500000001</v>
      </c>
      <c r="P46">
        <f t="shared" si="7"/>
        <v>2.693601412436889E-6</v>
      </c>
      <c r="Q46">
        <f t="shared" ref="Q46:Q50" si="25">P45*(N46-N45)+(P46-P45)*(N46-N45)/2</f>
        <v>7.3147938550072753E-4</v>
      </c>
      <c r="R46" s="30">
        <f>(P45*(N46-N45)*(N$50-(N45+N46)/2)+(P46-P45)*(N46-N45)/2*(N$50-(2*N46+N45)/3))/(P45*(N46-N45)+(P46-P45)*(N46-N45)/2)</f>
        <v>1344.7639646619775</v>
      </c>
      <c r="S46" s="41">
        <f t="shared" si="20"/>
        <v>1800.0000000000002</v>
      </c>
      <c r="T46">
        <f t="shared" si="8"/>
        <v>13.036747500000001</v>
      </c>
      <c r="U46">
        <f t="shared" si="12"/>
        <v>6.3882733992712717E-6</v>
      </c>
      <c r="V46">
        <f t="shared" si="13"/>
        <v>1.8290335081426619E-3</v>
      </c>
      <c r="W46" s="30">
        <f t="shared" si="14"/>
        <v>1347.6094338553833</v>
      </c>
      <c r="X46" s="41">
        <f t="shared" si="21"/>
        <v>1800.0000000000002</v>
      </c>
      <c r="Y46">
        <f t="shared" si="22"/>
        <v>7.1399475000000017</v>
      </c>
      <c r="Z46">
        <f t="shared" si="15"/>
        <v>2.7175322820790949E-6</v>
      </c>
      <c r="AA46">
        <f t="shared" si="23"/>
        <v>7.3486802776569703E-4</v>
      </c>
      <c r="AB46" s="30">
        <f t="shared" si="16"/>
        <v>1344.530197680361</v>
      </c>
    </row>
    <row r="47" spans="1:28" ht="24.75" customHeight="1" x14ac:dyDescent="0.65">
      <c r="A47" s="76" t="s">
        <v>19</v>
      </c>
      <c r="B47" s="77">
        <f>(B44*B8*(B12-B44*B8/0.85/(E16+B15)/B7/2)/10^6)*0.9</f>
        <v>29.390283372556464</v>
      </c>
      <c r="C47" s="78" t="s">
        <v>7</v>
      </c>
      <c r="D47" s="94"/>
      <c r="E47" s="2">
        <f>1.6*B21*B10/4</f>
        <v>0</v>
      </c>
      <c r="I47" s="41">
        <f t="shared" si="9"/>
        <v>2100.0000000000005</v>
      </c>
      <c r="J47">
        <f t="shared" si="5"/>
        <v>17.808643125</v>
      </c>
      <c r="K47">
        <f t="shared" si="6"/>
        <v>4.2993903408872805E-6</v>
      </c>
      <c r="L47">
        <f t="shared" si="10"/>
        <v>1.2230042297408615E-3</v>
      </c>
      <c r="M47" s="30">
        <f t="shared" si="11"/>
        <v>1047.2684938080924</v>
      </c>
      <c r="N47" s="41">
        <f t="shared" si="17"/>
        <v>2100.0000000000005</v>
      </c>
      <c r="O47">
        <f t="shared" si="24"/>
        <v>14.123143125</v>
      </c>
      <c r="P47">
        <f t="shared" si="7"/>
        <v>3.0747479720533804E-6</v>
      </c>
      <c r="Q47">
        <f t="shared" si="25"/>
        <v>8.6525240767354114E-4</v>
      </c>
      <c r="R47" s="30">
        <f t="shared" si="19"/>
        <v>1046.6962250878796</v>
      </c>
      <c r="S47" s="41">
        <f t="shared" si="20"/>
        <v>2100.0000000000005</v>
      </c>
      <c r="T47">
        <f t="shared" si="8"/>
        <v>14.123143125</v>
      </c>
      <c r="U47">
        <f t="shared" si="12"/>
        <v>6.8220252063175148E-6</v>
      </c>
      <c r="V47">
        <f t="shared" si="13"/>
        <v>1.9815447908383193E-3</v>
      </c>
      <c r="W47" s="30">
        <f t="shared" si="14"/>
        <v>1048.358281595305</v>
      </c>
      <c r="X47" s="41">
        <f t="shared" si="21"/>
        <v>2100.0000000000005</v>
      </c>
      <c r="Y47">
        <f t="shared" si="22"/>
        <v>7.7349431250000018</v>
      </c>
      <c r="Z47">
        <f t="shared" si="15"/>
        <v>3.0817493565712352E-6</v>
      </c>
      <c r="AA47">
        <f t="shared" si="23"/>
        <v>8.698922457975501E-4</v>
      </c>
      <c r="AB47" s="30">
        <f t="shared" si="16"/>
        <v>1046.8598087040234</v>
      </c>
    </row>
    <row r="48" spans="1:28" ht="24.75" customHeight="1" x14ac:dyDescent="0.65">
      <c r="A48" s="79" t="s">
        <v>45</v>
      </c>
      <c r="B48" s="80">
        <f>B46/(B47)</f>
        <v>0.87253071618715072</v>
      </c>
      <c r="C48" s="81" t="str">
        <f>IF(B48&lt;1, "OK","N.G.")</f>
        <v>OK</v>
      </c>
      <c r="D48" s="95"/>
      <c r="E48" s="2"/>
      <c r="I48" s="41">
        <f t="shared" si="9"/>
        <v>2400.0000000000005</v>
      </c>
      <c r="J48">
        <f t="shared" si="5"/>
        <v>18.787140000000001</v>
      </c>
      <c r="K48">
        <f t="shared" si="6"/>
        <v>4.6122216673960569E-6</v>
      </c>
      <c r="L48">
        <f t="shared" si="10"/>
        <v>1.3367418012425007E-3</v>
      </c>
      <c r="M48" s="30">
        <f t="shared" si="11"/>
        <v>748.24481066827184</v>
      </c>
      <c r="N48" s="41">
        <f t="shared" si="17"/>
        <v>2400.0000000000005</v>
      </c>
      <c r="O48">
        <f t="shared" si="24"/>
        <v>14.899140000000001</v>
      </c>
      <c r="P48">
        <f t="shared" si="7"/>
        <v>3.3402806671260151E-6</v>
      </c>
      <c r="Q48">
        <f t="shared" si="25"/>
        <v>9.622542958769093E-4</v>
      </c>
      <c r="R48" s="30">
        <f t="shared" si="19"/>
        <v>747.9303857394267</v>
      </c>
      <c r="S48" s="41">
        <f t="shared" si="20"/>
        <v>2400.0000000000005</v>
      </c>
      <c r="T48">
        <f t="shared" si="8"/>
        <v>14.899140000000001</v>
      </c>
      <c r="U48">
        <f t="shared" si="12"/>
        <v>7.1240981403525416E-6</v>
      </c>
      <c r="V48">
        <f t="shared" si="13"/>
        <v>2.0919185020005083E-3</v>
      </c>
      <c r="W48" s="30">
        <f t="shared" si="14"/>
        <v>748.91700035011115</v>
      </c>
      <c r="X48" s="41">
        <f t="shared" si="21"/>
        <v>2400.0000000000005</v>
      </c>
      <c r="Y48">
        <f t="shared" si="22"/>
        <v>8.1599400000000024</v>
      </c>
      <c r="Z48">
        <f t="shared" si="15"/>
        <v>3.3212728181750277E-6</v>
      </c>
      <c r="AA48">
        <f t="shared" si="23"/>
        <v>9.6045332621193941E-4</v>
      </c>
      <c r="AB48" s="30">
        <f t="shared" si="16"/>
        <v>748.1296061838699</v>
      </c>
    </row>
    <row r="49" spans="1:28" ht="24.75" customHeight="1" x14ac:dyDescent="0.65">
      <c r="A49" s="9"/>
      <c r="B49" s="12"/>
      <c r="E49" s="2"/>
      <c r="I49" s="41">
        <f t="shared" si="9"/>
        <v>2700.0000000000005</v>
      </c>
      <c r="J49">
        <f t="shared" si="5"/>
        <v>19.374238124999998</v>
      </c>
      <c r="K49">
        <f t="shared" si="6"/>
        <v>4.7981131195300416E-6</v>
      </c>
      <c r="L49">
        <f t="shared" si="10"/>
        <v>1.4115502180389147E-3</v>
      </c>
      <c r="M49" s="30">
        <f t="shared" si="11"/>
        <v>449.01230160061766</v>
      </c>
      <c r="N49" s="41">
        <f t="shared" si="17"/>
        <v>2700.0000000000005</v>
      </c>
      <c r="O49">
        <f t="shared" si="24"/>
        <v>15.364738124999999</v>
      </c>
      <c r="P49">
        <f t="shared" si="7"/>
        <v>3.4973213056205495E-6</v>
      </c>
      <c r="Q49">
        <f t="shared" si="25"/>
        <v>1.0256402959119846E-3</v>
      </c>
      <c r="R49" s="30">
        <f t="shared" si="19"/>
        <v>448.85163951396652</v>
      </c>
      <c r="S49" s="41">
        <f t="shared" si="20"/>
        <v>2700.0000000000005</v>
      </c>
      <c r="T49">
        <f t="shared" si="8"/>
        <v>15.364738124999999</v>
      </c>
      <c r="U49">
        <f t="shared" si="12"/>
        <v>7.3028142823963942E-6</v>
      </c>
      <c r="V49">
        <f t="shared" si="13"/>
        <v>2.1640368634123406E-3</v>
      </c>
      <c r="W49" s="30">
        <f t="shared" si="14"/>
        <v>449.38061541926999</v>
      </c>
      <c r="X49" s="41">
        <f t="shared" si="21"/>
        <v>2700.0000000000005</v>
      </c>
      <c r="Y49">
        <f t="shared" si="22"/>
        <v>8.4149381250000008</v>
      </c>
      <c r="Z49">
        <f t="shared" si="15"/>
        <v>3.4582774283489825E-6</v>
      </c>
      <c r="AA49">
        <f t="shared" si="23"/>
        <v>1.0169325369786015E-3</v>
      </c>
      <c r="AB49" s="30">
        <f t="shared" si="16"/>
        <v>448.98957449099078</v>
      </c>
    </row>
    <row r="50" spans="1:28" ht="24.75" customHeight="1" x14ac:dyDescent="0.65">
      <c r="A50" s="100" t="s">
        <v>125</v>
      </c>
      <c r="B50" s="100"/>
      <c r="C50" s="100"/>
      <c r="D50" s="93"/>
      <c r="E50" s="2">
        <f>B44/E16/B11</f>
        <v>1.0262536001726658E-2</v>
      </c>
      <c r="F50" s="4"/>
      <c r="I50" s="41">
        <f t="shared" si="9"/>
        <v>3000.0000000000005</v>
      </c>
      <c r="J50">
        <f t="shared" si="5"/>
        <v>19.569937499999998</v>
      </c>
      <c r="K50">
        <f t="shared" si="6"/>
        <v>4.8598028231027267E-6</v>
      </c>
      <c r="L50">
        <f t="shared" si="10"/>
        <v>1.4486873913949151E-3</v>
      </c>
      <c r="M50" s="30">
        <f t="shared" si="11"/>
        <v>149.68062621408637</v>
      </c>
      <c r="N50" s="41">
        <f t="shared" si="17"/>
        <v>3000.0000000000005</v>
      </c>
      <c r="O50">
        <f t="shared" si="24"/>
        <v>15.519937499999999</v>
      </c>
      <c r="P50">
        <f t="shared" si="7"/>
        <v>3.5493225400387908E-6</v>
      </c>
      <c r="Q50">
        <f t="shared" si="25"/>
        <v>1.056996576848901E-3</v>
      </c>
      <c r="R50" s="30">
        <f t="shared" si="19"/>
        <v>149.63102126659723</v>
      </c>
      <c r="S50" s="41">
        <f t="shared" si="20"/>
        <v>3000.0000000000005</v>
      </c>
      <c r="T50">
        <f t="shared" si="8"/>
        <v>15.519937499999999</v>
      </c>
      <c r="U50">
        <f t="shared" si="12"/>
        <v>7.3620115074860812E-6</v>
      </c>
      <c r="V50">
        <f t="shared" si="13"/>
        <v>2.1997238684823713E-3</v>
      </c>
      <c r="W50" s="30">
        <f t="shared" si="14"/>
        <v>149.79816594503791</v>
      </c>
      <c r="X50" s="41">
        <f t="shared" si="21"/>
        <v>3000.0000000000005</v>
      </c>
      <c r="Y50">
        <f t="shared" si="22"/>
        <v>8.4999375000000015</v>
      </c>
      <c r="Z50">
        <f t="shared" si="15"/>
        <v>3.502952376060746E-6</v>
      </c>
      <c r="AA50">
        <f t="shared" si="23"/>
        <v>1.0441844706614593E-3</v>
      </c>
      <c r="AB50" s="30">
        <f t="shared" si="16"/>
        <v>149.67911598261369</v>
      </c>
    </row>
    <row r="51" spans="1:28" ht="24.75" customHeight="1" thickBot="1" x14ac:dyDescent="0.5">
      <c r="A51" s="82" t="s">
        <v>11</v>
      </c>
      <c r="B51" s="77">
        <f>(B36^2*PI()/4/B35*((B12-20-C37/2-20)/((B12-20-C37/2-20)^2+(B35/2)^2)^0.5+(B35/2)/((B12-20-C37/2-20)^2+(B35/2)^2)^0.5))*E17</f>
        <v>1.0373450371321353</v>
      </c>
      <c r="C51" s="83" t="str">
        <f>IF(B51&lt;0.35*E16/B9, "Av/s is Less Than Minimum", "OK")</f>
        <v>OK</v>
      </c>
      <c r="D51" s="96"/>
      <c r="E51" s="2"/>
      <c r="F51" s="4"/>
      <c r="I51" s="35" t="str">
        <f>"delta (D+SD+L)="</f>
        <v>delta (D+SD+L)=</v>
      </c>
      <c r="J51" s="32">
        <f>SUM(L41:L50)*I50-L41*M41-L42*M42-L43*M43-L44*M44-L45*M45-L46*M46-L47*M47-L48*M48-L49*M49-L50*M50</f>
        <v>17.029259241190687</v>
      </c>
      <c r="K51" s="32"/>
      <c r="L51" s="32"/>
      <c r="M51" s="33"/>
      <c r="N51" s="35" t="str">
        <f>"delta (D+SD+L)="</f>
        <v>delta (D+SD+L)=</v>
      </c>
      <c r="O51" s="32">
        <f>SUM(Q41:Q50)*N50-Q41*R41-Q42*R42-Q43*R43-Q44*R44-Q45*R45-Q46*R46-Q47*R47-Q48*R48-Q49*R49-Q50*R50</f>
        <v>11.980424993638609</v>
      </c>
      <c r="P51" s="32"/>
      <c r="Q51" s="32"/>
      <c r="R51" s="33"/>
      <c r="S51" s="35" t="str">
        <f>"delta (D+SD+L)="</f>
        <v>delta (D+SD+L)=</v>
      </c>
      <c r="T51" s="32">
        <f>SUM(V41:V50)*S50-V41*W41-V42*W42-V43*W43-V44*W44-V45*W45-V46*W46-V47*W47-V48*W48-V49*W49-V50*W50</f>
        <v>28.036232070757436</v>
      </c>
      <c r="U51" s="32"/>
      <c r="V51" s="32"/>
      <c r="W51" s="33"/>
      <c r="X51" s="47" t="str">
        <f>"delta (D+SD+L)="</f>
        <v>delta (D+SD+L)=</v>
      </c>
      <c r="Y51" s="32">
        <f>SUM(AA41:AA50)*X50-AA41*AB41-AA42*AB42-AA43*AB43-AA44*AB44-AA45*AB45-AA46*AB46-AA47*AB47-AA48*AB48-AA49*AB49-AA50*AB50</f>
        <v>12.312650335295036</v>
      </c>
      <c r="Z51" s="32"/>
      <c r="AA51" s="32"/>
      <c r="AB51" s="33"/>
    </row>
    <row r="52" spans="1:28" ht="24.75" customHeight="1" x14ac:dyDescent="0.45">
      <c r="A52" s="82" t="s">
        <v>9</v>
      </c>
      <c r="B52" s="77">
        <f>MAX(B45*(B10-2*B12/1000)/2,E52+E53)</f>
        <v>15.557314499999999</v>
      </c>
      <c r="C52" s="78" t="s">
        <v>12</v>
      </c>
      <c r="D52" s="94"/>
      <c r="E52" s="2">
        <f>E45*(B10-2*B12/1000)/2</f>
        <v>10.3157145</v>
      </c>
      <c r="F52" s="4"/>
    </row>
    <row r="53" spans="1:28" ht="24.75" customHeight="1" x14ac:dyDescent="0.45">
      <c r="A53" s="82" t="s">
        <v>31</v>
      </c>
      <c r="B53" s="77">
        <f>0.75*(1.1*B7^0.5*0.17*(E16*B12)/1000)</f>
        <v>18.93375</v>
      </c>
      <c r="C53" s="78" t="s">
        <v>12</v>
      </c>
      <c r="D53" s="94"/>
      <c r="E53" s="2">
        <f>1.6*B21/2</f>
        <v>0</v>
      </c>
    </row>
    <row r="54" spans="1:28" ht="24.75" customHeight="1" thickBot="1" x14ac:dyDescent="0.5">
      <c r="A54" s="82" t="s">
        <v>32</v>
      </c>
      <c r="B54" s="77">
        <f>0.75*(B51*B9*B12/1000)</f>
        <v>63.018711005777234</v>
      </c>
      <c r="C54" s="78" t="s">
        <v>12</v>
      </c>
      <c r="D54" s="94"/>
      <c r="E54" s="49"/>
    </row>
    <row r="55" spans="1:28" ht="24.75" customHeight="1" thickBot="1" x14ac:dyDescent="0.5">
      <c r="A55" s="82" t="s">
        <v>22</v>
      </c>
      <c r="B55" s="77">
        <f>(B53+B54)</f>
        <v>81.952461005777238</v>
      </c>
      <c r="C55" s="78" t="s">
        <v>12</v>
      </c>
      <c r="D55" s="94"/>
      <c r="E55" s="4"/>
      <c r="M55" s="110" t="str">
        <f t="shared" ref="M55:M68" si="26">J7</f>
        <v>مقطع ترک نخورده قبل از گذر زمان</v>
      </c>
      <c r="N55" s="111"/>
      <c r="O55" s="111"/>
      <c r="P55" s="112"/>
      <c r="Q55" s="113" t="str">
        <f t="shared" ref="Q55:Q68" si="27">N7</f>
        <v>مقطع ترک خورده قبل از گذر زمان</v>
      </c>
      <c r="R55" s="114"/>
      <c r="S55" s="114"/>
      <c r="T55" s="115"/>
    </row>
    <row r="56" spans="1:28" ht="24.75" customHeight="1" x14ac:dyDescent="0.45">
      <c r="A56" s="79" t="s">
        <v>46</v>
      </c>
      <c r="B56" s="80">
        <f>B52/B55</f>
        <v>0.18983340230506665</v>
      </c>
      <c r="C56" s="81" t="str">
        <f>IF(B56&lt;1, "OK","N.G.")</f>
        <v>OK</v>
      </c>
      <c r="D56" s="95"/>
      <c r="E56" s="4"/>
      <c r="M56" s="26" t="str">
        <f t="shared" si="26"/>
        <v>Ec</v>
      </c>
      <c r="N56" s="27">
        <f t="shared" ref="N56:N68" si="28">K8</f>
        <v>23500</v>
      </c>
      <c r="O56" s="27">
        <f t="shared" ref="O56:O68" si="29">L8</f>
        <v>0</v>
      </c>
      <c r="P56" s="28">
        <f t="shared" ref="P56:P68" si="30">M8</f>
        <v>0</v>
      </c>
      <c r="Q56" s="26" t="str">
        <f t="shared" si="27"/>
        <v>Ec</v>
      </c>
      <c r="R56" s="27">
        <f t="shared" ref="R56:R68" si="31">O8</f>
        <v>23500</v>
      </c>
      <c r="S56" s="27">
        <f t="shared" ref="S56:S68" si="32">P8</f>
        <v>0</v>
      </c>
      <c r="T56" s="28">
        <f t="shared" ref="T56:T68" si="33">Q8</f>
        <v>0</v>
      </c>
    </row>
    <row r="57" spans="1:28" ht="24.75" customHeight="1" x14ac:dyDescent="0.45">
      <c r="M57" s="29" t="str">
        <f t="shared" si="26"/>
        <v>n=Es/Ec</v>
      </c>
      <c r="N57">
        <f t="shared" si="28"/>
        <v>8.5106382978723403</v>
      </c>
      <c r="O57">
        <f t="shared" si="29"/>
        <v>0</v>
      </c>
      <c r="P57" s="30">
        <f t="shared" si="30"/>
        <v>0</v>
      </c>
      <c r="Q57" s="29" t="str">
        <f t="shared" si="27"/>
        <v>n=Es/Ec</v>
      </c>
      <c r="R57">
        <f t="shared" si="31"/>
        <v>8.5106382978723403</v>
      </c>
      <c r="S57">
        <f t="shared" si="32"/>
        <v>0</v>
      </c>
      <c r="T57" s="30">
        <f t="shared" si="33"/>
        <v>0</v>
      </c>
    </row>
    <row r="58" spans="1:28" ht="24.75" customHeight="1" x14ac:dyDescent="0.45">
      <c r="A58" s="100" t="s">
        <v>129</v>
      </c>
      <c r="B58" s="100"/>
      <c r="C58" s="100"/>
      <c r="D58" s="93"/>
      <c r="M58" s="29" t="str">
        <f t="shared" si="26"/>
        <v>Aw,Yw,Iw</v>
      </c>
      <c r="N58">
        <f t="shared" si="28"/>
        <v>30000</v>
      </c>
      <c r="O58">
        <f t="shared" si="29"/>
        <v>150</v>
      </c>
      <c r="P58" s="30">
        <f t="shared" si="30"/>
        <v>225000000</v>
      </c>
      <c r="Q58" s="29" t="str">
        <f t="shared" si="27"/>
        <v>nAs</v>
      </c>
      <c r="R58">
        <f t="shared" si="31"/>
        <v>2620.221957887657</v>
      </c>
      <c r="S58">
        <f t="shared" si="32"/>
        <v>0</v>
      </c>
      <c r="T58" s="30">
        <f t="shared" si="33"/>
        <v>0</v>
      </c>
    </row>
    <row r="59" spans="1:28" ht="24.75" customHeight="1" x14ac:dyDescent="0.45">
      <c r="A59" s="76" t="s">
        <v>4</v>
      </c>
      <c r="B59" s="77">
        <f>B25</f>
        <v>9.4977499999999999</v>
      </c>
      <c r="C59" s="78" t="s">
        <v>44</v>
      </c>
      <c r="D59" s="94"/>
      <c r="M59" s="29" t="str">
        <f t="shared" si="26"/>
        <v>Af</v>
      </c>
      <c r="N59">
        <f t="shared" si="28"/>
        <v>25000</v>
      </c>
      <c r="O59">
        <f t="shared" si="29"/>
        <v>25</v>
      </c>
      <c r="P59" s="30">
        <f t="shared" si="30"/>
        <v>5208333.333333333</v>
      </c>
      <c r="Q59" s="29" t="str">
        <f t="shared" si="27"/>
        <v>(n-1)*A's</v>
      </c>
      <c r="R59">
        <f t="shared" si="31"/>
        <v>1226.9590372190264</v>
      </c>
      <c r="S59">
        <f t="shared" si="32"/>
        <v>0</v>
      </c>
      <c r="T59" s="30">
        <f t="shared" si="33"/>
        <v>0</v>
      </c>
    </row>
    <row r="60" spans="1:28" ht="24.75" customHeight="1" x14ac:dyDescent="0.45">
      <c r="A60" s="76" t="s">
        <v>6</v>
      </c>
      <c r="B60" s="77">
        <f>B59*(B15/1000)^2/8</f>
        <v>0.2968046875</v>
      </c>
      <c r="C60" s="78" t="s">
        <v>7</v>
      </c>
      <c r="D60" s="94"/>
      <c r="M60" s="29" t="str">
        <f t="shared" si="26"/>
        <v>(n-1)*As</v>
      </c>
      <c r="N60">
        <f t="shared" si="28"/>
        <v>2312.3458778358572</v>
      </c>
      <c r="O60">
        <f t="shared" si="29"/>
        <v>270</v>
      </c>
      <c r="P60" s="30">
        <f t="shared" si="30"/>
        <v>0</v>
      </c>
      <c r="Q60" s="29" t="str">
        <f t="shared" si="27"/>
        <v>B</v>
      </c>
      <c r="R60">
        <f t="shared" si="31"/>
        <v>0.22898823444854333</v>
      </c>
      <c r="S60" t="str">
        <f t="shared" si="32"/>
        <v>C</v>
      </c>
      <c r="T60" s="30">
        <f t="shared" si="33"/>
        <v>3.8164705741423888E-2</v>
      </c>
    </row>
    <row r="61" spans="1:28" ht="24.75" customHeight="1" x14ac:dyDescent="0.45">
      <c r="A61" s="76" t="s">
        <v>19</v>
      </c>
      <c r="B61" s="77">
        <f>0.6*0.42*B7^0.5*1000*B14^2/6/10^6</f>
        <v>0.52500000000000002</v>
      </c>
      <c r="C61" s="78" t="s">
        <v>7</v>
      </c>
      <c r="D61" s="94"/>
      <c r="M61" s="29" t="str">
        <f t="shared" si="26"/>
        <v>(n-1)*A's</v>
      </c>
      <c r="N61">
        <f t="shared" si="28"/>
        <v>1226.9590372190264</v>
      </c>
      <c r="O61">
        <f t="shared" si="29"/>
        <v>30</v>
      </c>
      <c r="P61" s="30">
        <f t="shared" si="30"/>
        <v>0</v>
      </c>
      <c r="Q61" s="29" t="str">
        <f t="shared" si="27"/>
        <v>r</v>
      </c>
      <c r="R61">
        <f t="shared" si="31"/>
        <v>0.46826530612244899</v>
      </c>
      <c r="S61" t="str">
        <f t="shared" si="32"/>
        <v>f</v>
      </c>
      <c r="T61" s="30">
        <f t="shared" si="33"/>
        <v>9.5411764353559718</v>
      </c>
    </row>
    <row r="62" spans="1:28" ht="24.75" customHeight="1" x14ac:dyDescent="0.45">
      <c r="A62" s="79" t="s">
        <v>45</v>
      </c>
      <c r="B62" s="80">
        <f>B60/(B61)</f>
        <v>0.56534226190476189</v>
      </c>
      <c r="C62" s="81" t="str">
        <f>IF(B62&lt;1, "OK","N.G.")</f>
        <v>OK</v>
      </c>
      <c r="D62" s="95"/>
      <c r="M62" s="29" t="str">
        <f t="shared" si="26"/>
        <v>Y (from top)</v>
      </c>
      <c r="N62">
        <f t="shared" si="28"/>
        <v>98.842003104211742</v>
      </c>
      <c r="O62">
        <f t="shared" si="29"/>
        <v>0</v>
      </c>
      <c r="P62" s="30">
        <f t="shared" si="30"/>
        <v>0</v>
      </c>
      <c r="Q62" s="29" t="str">
        <f t="shared" si="27"/>
        <v>Y (from top)</v>
      </c>
      <c r="R62">
        <f t="shared" si="31"/>
        <v>43.807639435376018</v>
      </c>
      <c r="S62" t="str">
        <f t="shared" si="32"/>
        <v>Y(from top)</v>
      </c>
      <c r="T62" s="30">
        <f t="shared" si="33"/>
        <v>44.09601641126963</v>
      </c>
    </row>
    <row r="63" spans="1:28" ht="24.75" customHeight="1" thickBot="1" x14ac:dyDescent="0.5">
      <c r="M63" s="31" t="str">
        <f t="shared" si="26"/>
        <v>I</v>
      </c>
      <c r="N63" s="32">
        <f t="shared" si="28"/>
        <v>518593729.80554587</v>
      </c>
      <c r="O63" s="32">
        <f t="shared" si="29"/>
        <v>0</v>
      </c>
      <c r="P63" s="33">
        <f t="shared" si="30"/>
        <v>0</v>
      </c>
      <c r="Q63" s="29" t="str">
        <f t="shared" si="27"/>
        <v>I</v>
      </c>
      <c r="R63">
        <f t="shared" si="31"/>
        <v>151106624.31555939</v>
      </c>
      <c r="S63" t="str">
        <f t="shared" si="32"/>
        <v>I</v>
      </c>
      <c r="T63" s="30">
        <f t="shared" si="33"/>
        <v>151143434.12256256</v>
      </c>
    </row>
    <row r="64" spans="1:28" ht="24.75" customHeight="1" x14ac:dyDescent="0.45">
      <c r="A64" s="101" t="s">
        <v>128</v>
      </c>
      <c r="B64" s="102"/>
      <c r="C64" s="103"/>
      <c r="D64" s="93"/>
      <c r="M64" s="29" t="str">
        <f t="shared" si="26"/>
        <v>fr</v>
      </c>
      <c r="N64">
        <f t="shared" si="28"/>
        <v>3.1</v>
      </c>
      <c r="O64">
        <f t="shared" si="29"/>
        <v>0</v>
      </c>
      <c r="P64" s="30">
        <f t="shared" si="30"/>
        <v>0</v>
      </c>
      <c r="Q64" s="29">
        <f t="shared" si="27"/>
        <v>0</v>
      </c>
      <c r="R64" t="str">
        <f t="shared" si="31"/>
        <v>Y (from Top)</v>
      </c>
      <c r="S64">
        <f t="shared" si="32"/>
        <v>43.807639435376018</v>
      </c>
      <c r="T64" s="30">
        <f t="shared" si="33"/>
        <v>0</v>
      </c>
    </row>
    <row r="65" spans="1:20" ht="24.75" customHeight="1" thickBot="1" x14ac:dyDescent="0.5">
      <c r="A65" s="18" t="s">
        <v>130</v>
      </c>
      <c r="B65" s="19">
        <f>1.6*B21</f>
        <v>0</v>
      </c>
      <c r="C65" s="14" t="s">
        <v>12</v>
      </c>
      <c r="D65" s="94"/>
      <c r="M65" s="31" t="str">
        <f t="shared" si="26"/>
        <v>Mcr</v>
      </c>
      <c r="N65" s="32">
        <f t="shared" si="28"/>
        <v>7.9919296632787873</v>
      </c>
      <c r="O65" s="32" t="str">
        <f t="shared" si="29"/>
        <v>kN.m</v>
      </c>
      <c r="P65" s="33">
        <f t="shared" si="30"/>
        <v>0</v>
      </c>
      <c r="Q65" s="31">
        <f t="shared" si="27"/>
        <v>0</v>
      </c>
      <c r="R65" s="32" t="str">
        <f t="shared" si="31"/>
        <v>I=</v>
      </c>
      <c r="S65" s="32">
        <f t="shared" si="32"/>
        <v>151106624.31555939</v>
      </c>
      <c r="T65" s="33">
        <f t="shared" si="33"/>
        <v>0</v>
      </c>
    </row>
    <row r="66" spans="1:20" ht="15" x14ac:dyDescent="0.45">
      <c r="A66" s="18" t="s">
        <v>22</v>
      </c>
      <c r="B66" s="19">
        <f>0.6*0.22*B7^0.5*4*(B22+B14)*B14/10^3</f>
        <v>22.44</v>
      </c>
      <c r="C66" s="14" t="s">
        <v>12</v>
      </c>
      <c r="D66" s="94"/>
      <c r="M66" s="26" t="str">
        <f t="shared" si="26"/>
        <v>M-D</v>
      </c>
      <c r="N66" s="27">
        <f t="shared" si="28"/>
        <v>6.0699375000000009</v>
      </c>
      <c r="O66" s="27" t="str">
        <f t="shared" si="29"/>
        <v>kN.m</v>
      </c>
      <c r="P66" s="28">
        <f t="shared" si="30"/>
        <v>0</v>
      </c>
      <c r="Q66">
        <f t="shared" si="27"/>
        <v>0</v>
      </c>
      <c r="R66">
        <f t="shared" si="31"/>
        <v>0</v>
      </c>
      <c r="S66">
        <f t="shared" si="32"/>
        <v>0</v>
      </c>
      <c r="T66">
        <f t="shared" si="33"/>
        <v>0</v>
      </c>
    </row>
    <row r="67" spans="1:20" ht="15" x14ac:dyDescent="0.45">
      <c r="A67" s="10" t="s">
        <v>45</v>
      </c>
      <c r="B67" s="11">
        <f>B65/(B66)</f>
        <v>0</v>
      </c>
      <c r="C67" s="15" t="str">
        <f>IF(B67&lt;1, "OK","N.G.")</f>
        <v>OK</v>
      </c>
      <c r="D67" s="95"/>
      <c r="M67" s="29" t="str">
        <f t="shared" si="26"/>
        <v>M-SD+M-P</v>
      </c>
      <c r="N67">
        <f t="shared" si="28"/>
        <v>8.1</v>
      </c>
      <c r="O67">
        <f t="shared" si="29"/>
        <v>0</v>
      </c>
      <c r="P67" s="30">
        <f t="shared" si="30"/>
        <v>0</v>
      </c>
      <c r="Q67">
        <f t="shared" si="27"/>
        <v>0</v>
      </c>
      <c r="R67">
        <f t="shared" si="31"/>
        <v>0</v>
      </c>
      <c r="S67">
        <f t="shared" si="32"/>
        <v>0</v>
      </c>
      <c r="T67">
        <f t="shared" si="33"/>
        <v>0</v>
      </c>
    </row>
    <row r="68" spans="1:20" ht="14.65" thickBot="1" x14ac:dyDescent="0.5">
      <c r="M68" s="31" t="str">
        <f t="shared" si="26"/>
        <v>M-L</v>
      </c>
      <c r="N68" s="32">
        <f t="shared" si="28"/>
        <v>5.3999999999999995</v>
      </c>
      <c r="O68" s="32">
        <f t="shared" si="29"/>
        <v>0</v>
      </c>
      <c r="P68" s="33">
        <f t="shared" si="30"/>
        <v>0</v>
      </c>
      <c r="Q68">
        <f t="shared" si="27"/>
        <v>0</v>
      </c>
      <c r="R68" s="4">
        <f t="shared" si="31"/>
        <v>0</v>
      </c>
      <c r="S68" s="4">
        <f t="shared" si="32"/>
        <v>0</v>
      </c>
      <c r="T68">
        <f t="shared" si="33"/>
        <v>0</v>
      </c>
    </row>
    <row r="71" spans="1:20" ht="17.25" x14ac:dyDescent="0.45">
      <c r="A71" s="59" t="s">
        <v>119</v>
      </c>
      <c r="B71" s="65">
        <v>5</v>
      </c>
      <c r="C71" s="60"/>
      <c r="E71" s="4"/>
    </row>
    <row r="72" spans="1:20" ht="25.5" x14ac:dyDescent="0.7">
      <c r="A72" s="63" t="s">
        <v>112</v>
      </c>
      <c r="B72" s="65">
        <v>5.62E-4</v>
      </c>
      <c r="C72" s="60"/>
      <c r="E72" s="4"/>
    </row>
    <row r="73" spans="1:20" ht="22.9" x14ac:dyDescent="0.65">
      <c r="A73" s="63" t="s">
        <v>113</v>
      </c>
      <c r="B73" s="65">
        <v>1.4</v>
      </c>
      <c r="C73" s="60"/>
      <c r="E73" s="4"/>
    </row>
    <row r="74" spans="1:20" ht="25.5" x14ac:dyDescent="0.7">
      <c r="A74" s="63" t="s">
        <v>114</v>
      </c>
      <c r="B74" s="65">
        <v>7.7999999999999999E-4</v>
      </c>
      <c r="C74" s="60"/>
      <c r="E74" s="4"/>
    </row>
    <row r="75" spans="1:20" ht="22.9" x14ac:dyDescent="0.65">
      <c r="A75" s="63" t="s">
        <v>115</v>
      </c>
      <c r="B75" s="65">
        <v>2.35</v>
      </c>
      <c r="C75" s="60"/>
      <c r="E75" s="4"/>
    </row>
    <row r="76" spans="1:20" ht="23.25" thickBot="1" x14ac:dyDescent="0.7">
      <c r="A76" s="64" t="s">
        <v>116</v>
      </c>
      <c r="B76" s="65">
        <v>0.8</v>
      </c>
      <c r="C76" s="60"/>
      <c r="E76" s="4"/>
    </row>
    <row r="77" spans="1:20" ht="15.4" thickBot="1" x14ac:dyDescent="0.5">
      <c r="A77" s="9"/>
      <c r="B77" s="12"/>
      <c r="J77" s="113" t="s">
        <v>117</v>
      </c>
      <c r="K77" s="111"/>
      <c r="L77" s="111"/>
      <c r="M77" s="112"/>
      <c r="N77" s="113" t="s">
        <v>118</v>
      </c>
      <c r="O77" s="114"/>
      <c r="P77" s="114"/>
      <c r="Q77" s="115"/>
    </row>
    <row r="78" spans="1:20" ht="15" x14ac:dyDescent="0.45">
      <c r="A78" s="56" t="s">
        <v>103</v>
      </c>
      <c r="B78" s="50">
        <f>J51</f>
        <v>17.029259241190687</v>
      </c>
      <c r="C78" s="69" t="s">
        <v>3</v>
      </c>
      <c r="D78" s="92"/>
      <c r="J78" s="26" t="s">
        <v>56</v>
      </c>
      <c r="K78" s="27">
        <f>4700*B7^0.5*1.25</f>
        <v>29375</v>
      </c>
      <c r="L78" s="27"/>
      <c r="M78" s="28"/>
      <c r="N78" s="26" t="s">
        <v>56</v>
      </c>
      <c r="O78" s="27">
        <f>K78</f>
        <v>29375</v>
      </c>
      <c r="P78" s="27"/>
      <c r="Q78" s="28"/>
    </row>
    <row r="79" spans="1:20" ht="15" x14ac:dyDescent="0.45">
      <c r="A79" s="56" t="s">
        <v>104</v>
      </c>
      <c r="B79" s="50">
        <f>O51</f>
        <v>11.980424993638609</v>
      </c>
      <c r="C79" s="69" t="s">
        <v>3</v>
      </c>
      <c r="D79" s="92"/>
      <c r="J79" s="29" t="s">
        <v>57</v>
      </c>
      <c r="K79">
        <f>200000/K78</f>
        <v>6.8085106382978724</v>
      </c>
      <c r="M79" s="30"/>
      <c r="N79" s="29" t="s">
        <v>57</v>
      </c>
      <c r="O79">
        <f>K79</f>
        <v>6.8085106382978724</v>
      </c>
      <c r="Q79" s="30"/>
    </row>
    <row r="80" spans="1:20" ht="15" x14ac:dyDescent="0.45">
      <c r="A80" s="56" t="s">
        <v>105</v>
      </c>
      <c r="B80" s="50">
        <f>T51</f>
        <v>28.036232070757436</v>
      </c>
      <c r="C80" s="69" t="s">
        <v>3</v>
      </c>
      <c r="D80" s="92"/>
      <c r="J80" s="29" t="s">
        <v>59</v>
      </c>
      <c r="K80">
        <f>E16*B11</f>
        <v>30000</v>
      </c>
      <c r="L80">
        <f>B11/2</f>
        <v>150</v>
      </c>
      <c r="M80" s="30">
        <f>E16*B11^3/12</f>
        <v>225000000</v>
      </c>
      <c r="N80" s="29" t="s">
        <v>63</v>
      </c>
      <c r="O80">
        <f>O79*B44</f>
        <v>2096.1775663101257</v>
      </c>
      <c r="Q80" s="30"/>
    </row>
    <row r="81" spans="1:17" ht="15" x14ac:dyDescent="0.45">
      <c r="A81" s="56" t="s">
        <v>106</v>
      </c>
      <c r="B81" s="50">
        <f>Y51</f>
        <v>12.312650335295036</v>
      </c>
      <c r="C81" s="69" t="s">
        <v>3</v>
      </c>
      <c r="D81" s="92"/>
      <c r="J81" s="29" t="s">
        <v>53</v>
      </c>
      <c r="K81">
        <f>(F16-E16)*B14</f>
        <v>25000</v>
      </c>
      <c r="L81">
        <f>B14/2</f>
        <v>25</v>
      </c>
      <c r="M81" s="30">
        <f>(F16-E16)*B14^3/12</f>
        <v>5208333.333333333</v>
      </c>
      <c r="N81" s="29" t="s">
        <v>55</v>
      </c>
      <c r="O81">
        <f>(O79-1)*B39</f>
        <v>948.89466617788742</v>
      </c>
      <c r="Q81" s="30"/>
    </row>
    <row r="82" spans="1:17" ht="15" x14ac:dyDescent="0.45">
      <c r="A82" s="56" t="s">
        <v>33</v>
      </c>
      <c r="B82" s="50">
        <f>B80-B81+B78-B79</f>
        <v>20.772415983014483</v>
      </c>
      <c r="C82" s="69" t="s">
        <v>3</v>
      </c>
      <c r="D82" s="92"/>
      <c r="J82" s="29" t="s">
        <v>54</v>
      </c>
      <c r="K82">
        <f>(K79-1)*B44</f>
        <v>1788.3014862583259</v>
      </c>
      <c r="L82">
        <f>B12</f>
        <v>270</v>
      </c>
      <c r="M82" s="30">
        <v>0</v>
      </c>
      <c r="N82" s="29" t="s">
        <v>62</v>
      </c>
      <c r="O82">
        <f>$F$16/O80</f>
        <v>0.28623529306067913</v>
      </c>
      <c r="P82" t="s">
        <v>24</v>
      </c>
      <c r="Q82" s="30">
        <f>$E$16/O80</f>
        <v>4.7705882176779853E-2</v>
      </c>
    </row>
    <row r="83" spans="1:17" ht="15" x14ac:dyDescent="0.45">
      <c r="A83" s="56" t="s">
        <v>34</v>
      </c>
      <c r="B83" s="50">
        <f>J51-O51</f>
        <v>5.0488342475520778</v>
      </c>
      <c r="C83" s="69" t="s">
        <v>3</v>
      </c>
      <c r="D83" s="92"/>
      <c r="J83" s="29" t="s">
        <v>55</v>
      </c>
      <c r="K83">
        <f>(K79-1)*B39</f>
        <v>948.89466617788742</v>
      </c>
      <c r="L83">
        <f>B13</f>
        <v>30</v>
      </c>
      <c r="M83" s="30">
        <v>0</v>
      </c>
      <c r="N83" s="29" t="s">
        <v>26</v>
      </c>
      <c r="O83">
        <f>O81/O80</f>
        <v>0.45267857142857149</v>
      </c>
      <c r="P83" t="s">
        <v>25</v>
      </c>
      <c r="Q83" s="30">
        <f>$B$14*($F$16-$E$16)/O80</f>
        <v>11.926470544194963</v>
      </c>
    </row>
    <row r="84" spans="1:17" x14ac:dyDescent="0.45">
      <c r="J84" s="29" t="s">
        <v>60</v>
      </c>
      <c r="K84">
        <f>(K80*L80+K81*L81+K82*L82+K83*L83)/SUM(K80:K83)</f>
        <v>97.620054607332378</v>
      </c>
      <c r="M84" s="30"/>
      <c r="N84" s="29" t="s">
        <v>60</v>
      </c>
      <c r="O84">
        <f>((2*$B$12*O82*(1+O83*$B$13/$B$12)+(1+O83)^2)^0.5-(1+O83))/O82</f>
        <v>39.726733628222469</v>
      </c>
      <c r="P84" t="s">
        <v>64</v>
      </c>
      <c r="Q84" s="30">
        <f>((Q82*(2*$B$12+$B$14*Q83+2*O83*$B$13)+(Q83+O83+1)^2)^0.5-(Q83+O83+1))/Q82</f>
        <v>40.549750120766653</v>
      </c>
    </row>
    <row r="85" spans="1:17" ht="17.649999999999999" thickBot="1" x14ac:dyDescent="0.5">
      <c r="A85" s="55" t="s">
        <v>14</v>
      </c>
      <c r="B85" s="75">
        <f>B10*1000/240</f>
        <v>25</v>
      </c>
      <c r="C85" s="75">
        <f>B82/B85</f>
        <v>0.83089663932057933</v>
      </c>
      <c r="D85" s="75"/>
      <c r="E85" s="20" t="str">
        <f>IF(B82&lt;B85,"OK","NG")</f>
        <v>OK</v>
      </c>
      <c r="J85" s="31" t="s">
        <v>58</v>
      </c>
      <c r="K85" s="32">
        <f>M80+K80*(K84-L80)^2+M81+K81*(K84-L81)^2+K82*(K84-L82)^2+K83*(K84-L83)^2</f>
        <v>501837798.58409411</v>
      </c>
      <c r="L85" s="32"/>
      <c r="M85" s="33"/>
      <c r="N85" s="29" t="s">
        <v>58</v>
      </c>
      <c r="O85">
        <f>$F$16*O84^3/3+O80*($B$12-O84)^2+O81*(O84-$B$13)^2</f>
        <v>123780671.30932103</v>
      </c>
      <c r="P85" t="s">
        <v>58</v>
      </c>
      <c r="Q85" s="30">
        <f>($F$16-$E$16)*$B$14^3/12+$E$16*Q84^3/3+($F$16-$E$16)*$B$14*(Q84-$B$14/2)^2+O80*($B$12-Q84)^2+O81*(Q84-$B$13)^2</f>
        <v>123939653.48632094</v>
      </c>
    </row>
    <row r="86" spans="1:17" ht="17.25" x14ac:dyDescent="0.45">
      <c r="A86" s="55" t="s">
        <v>35</v>
      </c>
      <c r="B86" s="75">
        <f>B10*1000/480</f>
        <v>12.5</v>
      </c>
      <c r="C86" s="75">
        <f>B82/B86</f>
        <v>1.6617932786411587</v>
      </c>
      <c r="D86" s="75"/>
      <c r="E86" s="21" t="str">
        <f>IF(B82&lt;B86,"OK","NG")</f>
        <v>NG</v>
      </c>
      <c r="J86" s="29" t="s">
        <v>67</v>
      </c>
      <c r="K86">
        <f>0.62*B7^0.5</f>
        <v>3.1</v>
      </c>
      <c r="M86" s="30"/>
      <c r="N86" s="29"/>
      <c r="O86" t="s">
        <v>66</v>
      </c>
      <c r="P86">
        <f>IF(O84&lt;B14,O84,Q84)</f>
        <v>39.726733628222469</v>
      </c>
      <c r="Q86" s="30"/>
    </row>
    <row r="87" spans="1:17" ht="17.649999999999999" thickBot="1" x14ac:dyDescent="0.5">
      <c r="A87" s="55" t="s">
        <v>36</v>
      </c>
      <c r="B87" s="75">
        <f>B10*1000/360</f>
        <v>16.666666666666668</v>
      </c>
      <c r="C87" s="75">
        <f>B83/B87</f>
        <v>0.30293005485312463</v>
      </c>
      <c r="D87" s="75"/>
      <c r="E87" s="21" t="str">
        <f>IF(B83&lt;B87,"OK","NG")</f>
        <v>OK</v>
      </c>
      <c r="J87" s="31" t="s">
        <v>68</v>
      </c>
      <c r="K87" s="32">
        <f>K86*K85/(B11-K84)/10^6</f>
        <v>7.6870125278087755</v>
      </c>
      <c r="L87" s="32" t="s">
        <v>7</v>
      </c>
      <c r="M87" s="33"/>
      <c r="N87" s="31"/>
      <c r="O87" s="32" t="s">
        <v>65</v>
      </c>
      <c r="P87" s="32">
        <f>IF(O84&lt;B14,O85,Q85)</f>
        <v>123780671.30932103</v>
      </c>
      <c r="Q87" s="33"/>
    </row>
    <row r="88" spans="1:17" ht="17.25" x14ac:dyDescent="0.45">
      <c r="A88" s="55" t="s">
        <v>111</v>
      </c>
      <c r="B88" s="75">
        <f>18/O121^0.5</f>
        <v>5.2527372955379841</v>
      </c>
      <c r="C88" s="75">
        <f>B71/B88</f>
        <v>0.95188464959923358</v>
      </c>
      <c r="D88" s="75"/>
      <c r="E88" s="20" t="str">
        <f>IF(C88&lt;1,"OK","NG")</f>
        <v>OK</v>
      </c>
      <c r="J88" s="26" t="s">
        <v>69</v>
      </c>
      <c r="K88" s="27">
        <f>F16/1000*B23*B$10^2/8</f>
        <v>6.0699375000000009</v>
      </c>
      <c r="L88" s="27" t="s">
        <v>7</v>
      </c>
      <c r="M88" s="28"/>
    </row>
    <row r="89" spans="1:17" x14ac:dyDescent="0.45">
      <c r="J89" s="29" t="s">
        <v>70</v>
      </c>
      <c r="K89">
        <f>F16/1000*B20*B10^2/8</f>
        <v>8.1</v>
      </c>
      <c r="M89" s="30"/>
    </row>
    <row r="90" spans="1:17" ht="14.65" thickBot="1" x14ac:dyDescent="0.5">
      <c r="J90" s="31" t="s">
        <v>71</v>
      </c>
      <c r="K90" s="32">
        <f>F16/1000*B18*B10^2/8</f>
        <v>5.3999999999999995</v>
      </c>
      <c r="L90" s="32"/>
      <c r="M90" s="33"/>
    </row>
    <row r="100" spans="14:18" ht="14.65" thickBot="1" x14ac:dyDescent="0.5"/>
    <row r="101" spans="14:18" ht="15.4" thickBot="1" x14ac:dyDescent="0.5">
      <c r="N101" s="110" t="str">
        <f>"CASE2: D+SD+"&amp;B$27&amp;"*Live    (without Creep)"</f>
        <v>CASE2: D+SD+0.25*Live    (without Creep)</v>
      </c>
      <c r="O101" s="111"/>
      <c r="P101" s="112"/>
    </row>
    <row r="102" spans="14:18" ht="15" x14ac:dyDescent="0.45">
      <c r="N102" s="40" t="str">
        <f>"Ma-(D+SD+"&amp;B$27&amp;"L)="</f>
        <v>Ma-(D+SD+0.25L)=</v>
      </c>
      <c r="O102">
        <f>K88+K89+B27*K90</f>
        <v>15.519937499999999</v>
      </c>
      <c r="P102" s="30" t="s">
        <v>7</v>
      </c>
    </row>
    <row r="103" spans="14:18" ht="22.9" x14ac:dyDescent="0.65">
      <c r="N103" s="34" t="s">
        <v>72</v>
      </c>
      <c r="O103">
        <f>MAX(0,1-(K87/O102)^2)</f>
        <v>0.7546787088615472</v>
      </c>
      <c r="P103" s="30"/>
    </row>
    <row r="104" spans="14:18" ht="22.9" x14ac:dyDescent="0.65">
      <c r="N104" s="34" t="s">
        <v>74</v>
      </c>
      <c r="O104">
        <f>(O102*10^6/K78/K85)</f>
        <v>1.0528069016782234E-6</v>
      </c>
      <c r="P104" s="30"/>
    </row>
    <row r="105" spans="14:18" ht="22.9" x14ac:dyDescent="0.65">
      <c r="N105" s="34" t="s">
        <v>75</v>
      </c>
      <c r="O105">
        <f>O102*10^6/O78/P87</f>
        <v>4.2683424825839911E-6</v>
      </c>
      <c r="P105" s="30"/>
    </row>
    <row r="106" spans="14:18" ht="22.9" x14ac:dyDescent="0.65">
      <c r="N106" s="34" t="s">
        <v>76</v>
      </c>
      <c r="O106">
        <f>IF(O102&lt;K$87,(O102*10^6/K$78/K$15),O103*O105+(1-O103)*O104)</f>
        <v>3.4795031421745532E-6</v>
      </c>
      <c r="P106" s="30"/>
    </row>
    <row r="107" spans="14:18" ht="15.4" thickBot="1" x14ac:dyDescent="0.5">
      <c r="N107" s="35" t="str">
        <f>"delta (D+SD+L)="</f>
        <v>delta (D+SD+L)=</v>
      </c>
      <c r="O107" s="32">
        <f>5/48*O106*(B10*1000)^2</f>
        <v>13.048136783154575</v>
      </c>
      <c r="P107" s="33" t="s">
        <v>3</v>
      </c>
    </row>
    <row r="109" spans="14:18" ht="14.65" thickBot="1" x14ac:dyDescent="0.5"/>
    <row r="110" spans="14:18" ht="22.9" x14ac:dyDescent="0.65">
      <c r="N110" s="45">
        <v>0.05</v>
      </c>
      <c r="O110" s="27" t="s">
        <v>101</v>
      </c>
      <c r="P110" s="48" t="s">
        <v>76</v>
      </c>
      <c r="Q110" s="27"/>
      <c r="R110" s="28"/>
    </row>
    <row r="111" spans="14:18" ht="22.9" x14ac:dyDescent="0.65">
      <c r="N111" s="41">
        <f>0+N$40*$B$10*1000</f>
        <v>300.00000000000006</v>
      </c>
      <c r="O111">
        <f>O$102*4*((N111/$B$10/1000)-(N111/$B$10/1000)^2)</f>
        <v>2.9487881250000005</v>
      </c>
      <c r="P111">
        <f>IF(O111&lt;K$87,(O111*10^6/K$78/K$85),(1-(K$87/O111)^2)*(O111*10^6/O$78/P$87)+(1-(1-(K$87/O111)^2))*(O111*10^6/K$78/K$85))</f>
        <v>2.0003331131886247E-7</v>
      </c>
      <c r="Q111">
        <f>P111*N111/2</f>
        <v>3.0004996697829378E-5</v>
      </c>
      <c r="R111" s="30">
        <f>N120-N$111*2/3</f>
        <v>2800.0000000000005</v>
      </c>
    </row>
    <row r="112" spans="14:18" ht="22.9" x14ac:dyDescent="0.65">
      <c r="N112" s="41">
        <f t="shared" ref="N112:N120" si="34">N111+N$40*$B$10*1000</f>
        <v>600.00000000000011</v>
      </c>
      <c r="O112">
        <f t="shared" ref="O112:O120" si="35">O$102*4*((N112/$B$10/1000)-(N112/$B$10/1000)^2)</f>
        <v>5.5871775000000001</v>
      </c>
      <c r="P112">
        <f t="shared" ref="P112:P120" si="36">IF(O112&lt;K$87,(O112*10^6/K$78/K$85),(1-(K$87/O112)^2)*(O112*10^6/O$78/P$87)+(1-(1-(K$87/O112)^2))*(O112*10^6/K$78/K$85))</f>
        <v>3.790104846041604E-7</v>
      </c>
      <c r="Q112">
        <f>P111*(N112-N111)+(P112-P111)*(N112-N111)/2</f>
        <v>8.6856569388453443E-5</v>
      </c>
      <c r="R112" s="30">
        <f>(P111*(N112-N111)*(N$120-(N111+N112)/2)+(P112-P111)*(N112-N111)/2*(N$120-(2*N112+N111)/3))/(P111*(N112-N111)+(P112-P111)*(N112-N111)/2)</f>
        <v>2534.5454545454554</v>
      </c>
    </row>
    <row r="113" spans="14:18" ht="22.9" x14ac:dyDescent="0.65">
      <c r="N113" s="41">
        <f t="shared" si="34"/>
        <v>900.00000000000023</v>
      </c>
      <c r="O113">
        <f t="shared" si="35"/>
        <v>7.9151681250000001</v>
      </c>
      <c r="P113">
        <f t="shared" si="36"/>
        <v>6.3011086139344746E-7</v>
      </c>
      <c r="Q113">
        <f>P112*(N113-N112)+(P113-P112)*(N113-N112)/2</f>
        <v>1.5136820189964124E-4</v>
      </c>
      <c r="R113" s="30">
        <f t="shared" ref="R113:R120" si="37">(P112*(N113-N112)*(N$120-(N112+N113)/2)+(P113-P112)*(N113-N112)/2*(N$120-(2*N113+N112)/3))/(P112*(N113-N112)+(P113-P112)*(N113-N112)/2)</f>
        <v>2237.5584647086694</v>
      </c>
    </row>
    <row r="114" spans="14:18" ht="22.9" x14ac:dyDescent="0.65">
      <c r="N114" s="41">
        <f t="shared" si="34"/>
        <v>1200.0000000000002</v>
      </c>
      <c r="O114">
        <f t="shared" si="35"/>
        <v>9.9327600000000018</v>
      </c>
      <c r="P114">
        <f t="shared" si="36"/>
        <v>1.4991777194640088E-6</v>
      </c>
      <c r="Q114">
        <f>P113*(N114-N113)+(P114-P113)*(N114-N113)/2</f>
        <v>3.1939328712861847E-4</v>
      </c>
      <c r="R114" s="30">
        <f t="shared" si="37"/>
        <v>1929.5925534499277</v>
      </c>
    </row>
    <row r="115" spans="14:18" ht="22.9" x14ac:dyDescent="0.65">
      <c r="N115" s="41">
        <f t="shared" si="34"/>
        <v>1500.0000000000002</v>
      </c>
      <c r="O115">
        <f t="shared" si="35"/>
        <v>11.639953125000002</v>
      </c>
      <c r="P115">
        <f t="shared" si="36"/>
        <v>2.1494710747254107E-6</v>
      </c>
      <c r="Q115">
        <f>P114*(N115-N114)+(P115-P114)*(N115-N114)/2</f>
        <v>5.4729731912841291E-4</v>
      </c>
      <c r="R115" s="30">
        <f t="shared" si="37"/>
        <v>1641.0885728944784</v>
      </c>
    </row>
    <row r="116" spans="14:18" ht="22.9" x14ac:dyDescent="0.65">
      <c r="N116" s="41">
        <f t="shared" si="34"/>
        <v>1800.0000000000002</v>
      </c>
      <c r="O116">
        <f t="shared" si="35"/>
        <v>13.036747500000001</v>
      </c>
      <c r="P116">
        <f t="shared" si="36"/>
        <v>2.6463132325021746E-6</v>
      </c>
      <c r="Q116">
        <f t="shared" ref="Q116:Q120" si="38">P115*(N116-N115)+(P116-P115)*(N116-N115)/2</f>
        <v>7.1936764608413785E-4</v>
      </c>
      <c r="R116" s="30">
        <f t="shared" si="37"/>
        <v>1344.8200114314152</v>
      </c>
    </row>
    <row r="117" spans="14:18" ht="22.9" x14ac:dyDescent="0.65">
      <c r="N117" s="41">
        <f t="shared" si="34"/>
        <v>2100.0000000000005</v>
      </c>
      <c r="O117">
        <f t="shared" si="35"/>
        <v>14.123143125</v>
      </c>
      <c r="P117">
        <f t="shared" si="36"/>
        <v>3.0173352411190837E-6</v>
      </c>
      <c r="Q117">
        <f t="shared" si="38"/>
        <v>8.4954727104318939E-4</v>
      </c>
      <c r="R117" s="30">
        <f t="shared" si="37"/>
        <v>1046.7245318071473</v>
      </c>
    </row>
    <row r="118" spans="14:18" ht="22.9" x14ac:dyDescent="0.65">
      <c r="N118" s="41">
        <f t="shared" si="34"/>
        <v>2400.0000000000005</v>
      </c>
      <c r="O118">
        <f t="shared" si="35"/>
        <v>14.899140000000001</v>
      </c>
      <c r="P118">
        <f t="shared" si="36"/>
        <v>3.2759011370208011E-6</v>
      </c>
      <c r="Q118">
        <f t="shared" si="38"/>
        <v>9.439854567209827E-4</v>
      </c>
      <c r="R118" s="30">
        <f t="shared" si="37"/>
        <v>747.94568422060343</v>
      </c>
    </row>
    <row r="119" spans="14:18" ht="22.9" x14ac:dyDescent="0.65">
      <c r="N119" s="41">
        <f t="shared" si="34"/>
        <v>2700.0000000000005</v>
      </c>
      <c r="O119">
        <f t="shared" si="35"/>
        <v>15.364738124999999</v>
      </c>
      <c r="P119">
        <f t="shared" si="36"/>
        <v>3.4288516432031629E-6</v>
      </c>
      <c r="Q119">
        <f t="shared" si="38"/>
        <v>1.0057129170335944E-3</v>
      </c>
      <c r="R119" s="30">
        <f t="shared" si="37"/>
        <v>448.8593874286201</v>
      </c>
    </row>
    <row r="120" spans="14:18" ht="22.9" x14ac:dyDescent="0.65">
      <c r="N120" s="41">
        <f t="shared" si="34"/>
        <v>3000.0000000000005</v>
      </c>
      <c r="O120">
        <f t="shared" si="35"/>
        <v>15.519937499999999</v>
      </c>
      <c r="P120">
        <f t="shared" si="36"/>
        <v>3.4795031421745532E-6</v>
      </c>
      <c r="Q120">
        <f t="shared" si="38"/>
        <v>1.0362532178066573E-3</v>
      </c>
      <c r="R120" s="30">
        <f t="shared" si="37"/>
        <v>149.63340404086804</v>
      </c>
    </row>
    <row r="121" spans="14:18" ht="15.4" thickBot="1" x14ac:dyDescent="0.5">
      <c r="N121" s="35" t="str">
        <f>"delta (D+SD+L)="</f>
        <v>delta (D+SD+L)=</v>
      </c>
      <c r="O121" s="32">
        <f>SUM(Q111:Q120)*N120-Q111*R111-Q112*R112-Q113*R113-Q114*R114-Q115*R115-Q116*R116-Q117*R117-Q118*R118-Q119*R119-Q120*R120</f>
        <v>11.74285364440882</v>
      </c>
      <c r="P121" s="32"/>
      <c r="Q121" s="32"/>
      <c r="R121" s="33"/>
    </row>
  </sheetData>
  <dataConsolidate/>
  <mergeCells count="44">
    <mergeCell ref="F6:I6"/>
    <mergeCell ref="A1:C1"/>
    <mergeCell ref="A2:C2"/>
    <mergeCell ref="F1:I1"/>
    <mergeCell ref="F2:I2"/>
    <mergeCell ref="F5:I5"/>
    <mergeCell ref="F3:I4"/>
    <mergeCell ref="F26:F27"/>
    <mergeCell ref="G26:G27"/>
    <mergeCell ref="H26:H27"/>
    <mergeCell ref="F28:F29"/>
    <mergeCell ref="G28:G29"/>
    <mergeCell ref="H28:H29"/>
    <mergeCell ref="AD7:AG7"/>
    <mergeCell ref="J7:M7"/>
    <mergeCell ref="N31:P31"/>
    <mergeCell ref="J31:L31"/>
    <mergeCell ref="A3:C3"/>
    <mergeCell ref="X31:Z31"/>
    <mergeCell ref="R7:U7"/>
    <mergeCell ref="N7:Q7"/>
    <mergeCell ref="V7:Y7"/>
    <mergeCell ref="Z7:AC7"/>
    <mergeCell ref="F22:F23"/>
    <mergeCell ref="G22:G23"/>
    <mergeCell ref="H22:H23"/>
    <mergeCell ref="F24:F25"/>
    <mergeCell ref="G24:G25"/>
    <mergeCell ref="H24:H25"/>
    <mergeCell ref="N101:P101"/>
    <mergeCell ref="M55:P55"/>
    <mergeCell ref="Q55:T55"/>
    <mergeCell ref="J77:M77"/>
    <mergeCell ref="N77:Q77"/>
    <mergeCell ref="A58:C58"/>
    <mergeCell ref="A64:C64"/>
    <mergeCell ref="F30:F31"/>
    <mergeCell ref="G30:G31"/>
    <mergeCell ref="H30:H31"/>
    <mergeCell ref="F32:F33"/>
    <mergeCell ref="G32:G33"/>
    <mergeCell ref="H32:H33"/>
    <mergeCell ref="A43:C43"/>
    <mergeCell ref="A50:C50"/>
  </mergeCells>
  <dataValidations count="5">
    <dataValidation type="list" allowBlank="1" showInputMessage="1" showErrorMessage="1" sqref="B30:D30" xr:uid="{00000000-0002-0000-0000-000000000000}">
      <formula1>"f8, f10, f12, f14, f16, f18, f20"</formula1>
    </dataValidation>
    <dataValidation type="list" allowBlank="1" showInputMessage="1" showErrorMessage="1" sqref="B17" xr:uid="{00000000-0002-0000-0000-000001000000}">
      <formula1>"S, D"</formula1>
    </dataValidation>
    <dataValidation type="list" allowBlank="1" showInputMessage="1" showErrorMessage="1" sqref="B31:D31" xr:uid="{00000000-0002-0000-0000-000002000000}">
      <formula1>"0, 1, 2, 3, 4, 5, 6, 7, 8"</formula1>
    </dataValidation>
    <dataValidation type="list" allowBlank="1" showInputMessage="1" showErrorMessage="1" sqref="B34" xr:uid="{00000000-0002-0000-0000-000003000000}">
      <formula1>"2f4.5, 2f5, 2f5.5, f6, 2f6, f8, 2f8, f10, 2f10"</formula1>
    </dataValidation>
    <dataValidation type="list" allowBlank="1" showInputMessage="1" showErrorMessage="1" sqref="B38" xr:uid="{00000000-0002-0000-0000-000004000000}">
      <formula1>"f6, f8, f10, f12, f14, f16"</formula1>
    </dataValidation>
  </dataValidations>
  <hyperlinks>
    <hyperlink ref="A3" r:id="rId1" xr:uid="{00000000-0004-0000-0000-000000000000}"/>
    <hyperlink ref="A1" r:id="rId2" xr:uid="{02A6BC0E-4005-43B9-99F5-04E0A84CF4E2}"/>
    <hyperlink ref="A2" r:id="rId3" xr:uid="{005C998D-BBAA-4D2E-9110-E91A1F9142B2}"/>
    <hyperlink ref="A2:C2" r:id="rId4" display="https://telegram.me/hoseinzadehasl" xr:uid="{22D40D0B-9A1A-4EB9-B939-ACDE06D2C5EE}"/>
    <hyperlink ref="A3:C3" r:id="rId5" display="https://www.instagram.com/masoud_hoseinzadeh_asl" xr:uid="{040DE0F9-B04D-4F7F-B93E-B375EC54AB74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F8D7-8220-4F24-9E44-73DD99024754}">
  <dimension ref="A1"/>
  <sheetViews>
    <sheetView workbookViewId="0">
      <selection activeCell="A2" sqref="A2"/>
    </sheetView>
  </sheetViews>
  <sheetFormatPr defaultRowHeight="14.25" x14ac:dyDescent="0.45"/>
  <sheetData>
    <row r="1" spans="1:1" x14ac:dyDescent="0.45">
      <c r="A1">
        <f>(10.51*0.5^2)/8</f>
        <v>0.32843749999999999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8"/>
  <sheetViews>
    <sheetView topLeftCell="A13" workbookViewId="0">
      <selection activeCell="C18" sqref="C18"/>
    </sheetView>
  </sheetViews>
  <sheetFormatPr defaultRowHeight="14.25" x14ac:dyDescent="0.45"/>
  <cols>
    <col min="4" max="4" width="12" bestFit="1" customWidth="1"/>
    <col min="9" max="9" width="12" bestFit="1" customWidth="1"/>
    <col min="13" max="13" width="12" bestFit="1" customWidth="1"/>
  </cols>
  <sheetData>
    <row r="18" spans="3:3" x14ac:dyDescent="0.45">
      <c r="C18">
        <f>15/4*8/1.5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Masoud</dc:creator>
  <cp:lastModifiedBy>masoud hoseinzadeh asl</cp:lastModifiedBy>
  <dcterms:created xsi:type="dcterms:W3CDTF">2014-07-03T02:46:34Z</dcterms:created>
  <dcterms:modified xsi:type="dcterms:W3CDTF">2024-08-18T07:20:58Z</dcterms:modified>
</cp:coreProperties>
</file>